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tabRatio="972" firstSheet="9" activeTab="9"/>
  </bookViews>
  <sheets>
    <sheet name="COMB - BS" sheetId="26" state="hidden" r:id="rId1"/>
    <sheet name="COMB - PL" sheetId="25" state="hidden" r:id="rId2"/>
    <sheet name="COMB - SCHEDULES" sheetId="24" state="hidden" r:id="rId3"/>
    <sheet name="COMB - DEP" sheetId="34" state="hidden" r:id="rId4"/>
    <sheet name="MBA BS" sheetId="22" state="hidden" r:id="rId5"/>
    <sheet name="MBA PL " sheetId="15" state="hidden" r:id="rId6"/>
    <sheet name="MBA DEPRE 2024-25" sheetId="32" state="hidden" r:id="rId7"/>
    <sheet name="MBA Schedules" sheetId="20" state="hidden" r:id="rId8"/>
    <sheet name="MBA DEP-2425" sheetId="31" state="hidden" r:id="rId9"/>
    <sheet name="MCA BS" sheetId="1" r:id="rId10"/>
    <sheet name="PL" sheetId="2" state="hidden" r:id="rId11"/>
    <sheet name="Depreciation" sheetId="4" state="hidden" r:id="rId12"/>
    <sheet name="Depreciation calculation" sheetId="9" state="hidden" r:id="rId13"/>
    <sheet name="Stock details" sheetId="5" state="hidden" r:id="rId14"/>
    <sheet name="Notes" sheetId="6" state="hidden" r:id="rId15"/>
    <sheet name="Share holders" sheetId="7" state="hidden" r:id="rId16"/>
    <sheet name="Debtors" sheetId="8" state="hidden" r:id="rId17"/>
    <sheet name="Depreciation as per IT" sheetId="11" state="hidden" r:id="rId18"/>
    <sheet name="Sheet3" sheetId="12" state="hidden" r:id="rId19"/>
    <sheet name="Computation" sheetId="13" state="hidden" r:id="rId20"/>
    <sheet name="269ss" sheetId="14" state="hidden" r:id="rId21"/>
    <sheet name="Sheet1" sheetId="10" state="hidden" r:id="rId22"/>
    <sheet name="MCA PL" sheetId="21" r:id="rId23"/>
    <sheet name="MCA DEPRE 2024-25" sheetId="16" r:id="rId24"/>
    <sheet name="MCA Schedules" sheetId="3" r:id="rId25"/>
    <sheet name="MCA  DEP-2425" sheetId="19" r:id="rId26"/>
  </sheets>
  <externalReferences>
    <externalReference r:id="rId27"/>
    <externalReference r:id="rId28"/>
  </externalReferences>
  <definedNames>
    <definedName name="GPA_UPLOAD">#REF!</definedName>
    <definedName name="_xlnm.Print_Area" localSheetId="20">'269ss'!$A$1:$H$43</definedName>
    <definedName name="_xlnm.Print_Area" localSheetId="14">Notes!$A$1:$F$86</definedName>
    <definedName name="_xlnm.Print_Area" localSheetId="10">PL!$A$1:$F$46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59" i="19" l="1"/>
  <c r="E14" i="16"/>
  <c r="D11" i="16"/>
  <c r="I59" i="19"/>
  <c r="J11" i="16" s="1"/>
  <c r="C59" i="19"/>
  <c r="C11" i="16" s="1"/>
  <c r="M58" i="19"/>
  <c r="J58" i="19" s="1"/>
  <c r="K58" i="19" s="1"/>
  <c r="K59" i="19" s="1"/>
  <c r="L11" i="16" s="1"/>
  <c r="E58" i="19"/>
  <c r="E59" i="19" s="1"/>
  <c r="E14" i="32"/>
  <c r="E8" i="34"/>
  <c r="I62" i="31"/>
  <c r="J11" i="32" s="1"/>
  <c r="D62" i="31"/>
  <c r="D11" i="32" s="1"/>
  <c r="C62" i="31"/>
  <c r="C11" i="32" s="1"/>
  <c r="M61" i="31"/>
  <c r="J61" i="31" s="1"/>
  <c r="K61" i="31" s="1"/>
  <c r="E61" i="31"/>
  <c r="M60" i="31"/>
  <c r="J60" i="31" s="1"/>
  <c r="K60" i="31" s="1"/>
  <c r="E60" i="31"/>
  <c r="E9" i="34"/>
  <c r="E10" i="34"/>
  <c r="E11" i="34"/>
  <c r="E12" i="34"/>
  <c r="E13" i="34"/>
  <c r="E62" i="31" l="1"/>
  <c r="F11" i="32" s="1"/>
  <c r="M59" i="19"/>
  <c r="N11" i="16" s="1"/>
  <c r="K62" i="31"/>
  <c r="L11" i="32" s="1"/>
  <c r="M62" i="31"/>
  <c r="N11" i="32" s="1"/>
  <c r="J62" i="31"/>
  <c r="K11" i="32" s="1"/>
  <c r="F11" i="16"/>
  <c r="J59" i="19"/>
  <c r="K11" i="16" s="1"/>
  <c r="N58" i="19"/>
  <c r="N59" i="19" s="1"/>
  <c r="O11" i="16" s="1"/>
  <c r="N61" i="31"/>
  <c r="N60" i="31"/>
  <c r="N62" i="31" l="1"/>
  <c r="O11" i="32" s="1"/>
  <c r="D24" i="3" l="1"/>
  <c r="D47" i="20"/>
  <c r="D21" i="31"/>
  <c r="E54" i="31"/>
  <c r="E55" i="31"/>
  <c r="E56" i="31"/>
  <c r="E57" i="31"/>
  <c r="E58" i="31"/>
  <c r="D115" i="24"/>
  <c r="F115" i="24"/>
  <c r="D90" i="24"/>
  <c r="K19" i="26"/>
  <c r="K13" i="26"/>
  <c r="J11" i="26"/>
  <c r="K11" i="26"/>
  <c r="J13" i="26"/>
  <c r="J15" i="26"/>
  <c r="K15" i="26"/>
  <c r="J17" i="26"/>
  <c r="K17" i="26"/>
  <c r="J19" i="26"/>
  <c r="J21" i="26"/>
  <c r="K21" i="26"/>
  <c r="J22" i="26"/>
  <c r="K22" i="26"/>
  <c r="J23" i="26"/>
  <c r="K23" i="26"/>
  <c r="J25" i="26"/>
  <c r="K25" i="26"/>
  <c r="J27" i="26"/>
  <c r="K27" i="26"/>
  <c r="J29" i="26"/>
  <c r="K29" i="26"/>
  <c r="J31" i="26"/>
  <c r="K31" i="26"/>
  <c r="J24" i="25"/>
  <c r="K24" i="25"/>
  <c r="J26" i="25"/>
  <c r="K26" i="25"/>
  <c r="J28" i="25"/>
  <c r="K28" i="25"/>
  <c r="J30" i="25"/>
  <c r="K30" i="25"/>
  <c r="J32" i="25"/>
  <c r="K32" i="25"/>
  <c r="J34" i="25"/>
  <c r="K34" i="25"/>
  <c r="J36" i="25"/>
  <c r="K36" i="25"/>
  <c r="J13" i="25"/>
  <c r="K13" i="25"/>
  <c r="J15" i="25"/>
  <c r="K15" i="25"/>
  <c r="J17" i="25"/>
  <c r="K17" i="25"/>
  <c r="J18" i="25"/>
  <c r="K18" i="25"/>
  <c r="J20" i="25"/>
  <c r="K20" i="25"/>
  <c r="J22" i="25"/>
  <c r="K22" i="25"/>
  <c r="K12" i="15"/>
  <c r="L12" i="15"/>
  <c r="K14" i="15"/>
  <c r="L14" i="15"/>
  <c r="K16" i="15"/>
  <c r="L16" i="15"/>
  <c r="K17" i="15"/>
  <c r="L17" i="15"/>
  <c r="K19" i="15"/>
  <c r="L19" i="15"/>
  <c r="K20" i="15"/>
  <c r="L20" i="15"/>
  <c r="K22" i="15"/>
  <c r="L22" i="15"/>
  <c r="K24" i="15"/>
  <c r="L24" i="15"/>
  <c r="K26" i="15"/>
  <c r="L26" i="15"/>
  <c r="K28" i="15"/>
  <c r="L28" i="15"/>
  <c r="K30" i="15"/>
  <c r="L30" i="15"/>
  <c r="K32" i="15"/>
  <c r="L32" i="15"/>
  <c r="K34" i="15"/>
  <c r="L34" i="15"/>
  <c r="D114" i="20" l="1"/>
  <c r="D96" i="20"/>
  <c r="D111" i="20"/>
  <c r="D104" i="20"/>
  <c r="D103" i="20"/>
  <c r="D93" i="20"/>
  <c r="D98" i="20"/>
  <c r="D95" i="20"/>
  <c r="D86" i="20"/>
  <c r="D77" i="20"/>
  <c r="D41" i="20"/>
  <c r="D39" i="20"/>
  <c r="F114" i="20"/>
  <c r="F104" i="20"/>
  <c r="F98" i="20"/>
  <c r="F94" i="20"/>
  <c r="F93" i="20"/>
  <c r="F86" i="20"/>
  <c r="F39" i="20"/>
  <c r="D89" i="3"/>
  <c r="D82" i="3"/>
  <c r="F82" i="3"/>
  <c r="F73" i="3"/>
  <c r="E101" i="24" l="1"/>
  <c r="F101" i="24"/>
  <c r="D101" i="24"/>
  <c r="E85" i="24"/>
  <c r="F85" i="24"/>
  <c r="D85" i="24"/>
  <c r="E78" i="24"/>
  <c r="F78" i="24"/>
  <c r="D78" i="24"/>
  <c r="E77" i="3"/>
  <c r="F77" i="3"/>
  <c r="E72" i="24"/>
  <c r="F72" i="24"/>
  <c r="D72" i="24"/>
  <c r="E71" i="24"/>
  <c r="F71" i="24"/>
  <c r="D71" i="24"/>
  <c r="D77" i="3"/>
  <c r="F121" i="24" l="1"/>
  <c r="E31" i="15"/>
  <c r="L31" i="15" s="1"/>
  <c r="F128" i="20"/>
  <c r="F123" i="24" l="1"/>
  <c r="E33" i="25" s="1"/>
  <c r="K33" i="25" s="1"/>
  <c r="F122" i="3"/>
  <c r="E30" i="21" s="1"/>
  <c r="F95" i="24" l="1"/>
  <c r="D48" i="24" l="1"/>
  <c r="F48" i="24"/>
  <c r="D49" i="24"/>
  <c r="F49" i="24"/>
  <c r="F100" i="24" l="1"/>
  <c r="D68" i="24"/>
  <c r="F68" i="24"/>
  <c r="M67" i="31" l="1"/>
  <c r="J67" i="31" s="1"/>
  <c r="E67" i="31"/>
  <c r="I68" i="31"/>
  <c r="J12" i="32" s="1"/>
  <c r="D68" i="31"/>
  <c r="D12" i="32" s="1"/>
  <c r="C68" i="31"/>
  <c r="C12" i="32" s="1"/>
  <c r="N67" i="31" l="1"/>
  <c r="K67" i="31" l="1"/>
  <c r="D100" i="24"/>
  <c r="M64" i="31" l="1"/>
  <c r="J64" i="31" s="1"/>
  <c r="K64" i="31" s="1"/>
  <c r="E64" i="31"/>
  <c r="N64" i="31" l="1"/>
  <c r="M61" i="19"/>
  <c r="J61" i="19" s="1"/>
  <c r="K61" i="19" s="1"/>
  <c r="E61" i="19"/>
  <c r="N61" i="19" l="1"/>
  <c r="F62" i="24" l="1"/>
  <c r="D62" i="24"/>
  <c r="F69" i="24" l="1"/>
  <c r="D69" i="24"/>
  <c r="F73" i="24" l="1"/>
  <c r="D73" i="24"/>
  <c r="I41" i="31" l="1"/>
  <c r="D41" i="31"/>
  <c r="C41" i="31"/>
  <c r="M40" i="31"/>
  <c r="E40" i="31"/>
  <c r="M39" i="31"/>
  <c r="J39" i="31" s="1"/>
  <c r="E39" i="31"/>
  <c r="M38" i="31"/>
  <c r="E38" i="31"/>
  <c r="M37" i="31"/>
  <c r="J37" i="31" s="1"/>
  <c r="E37" i="31"/>
  <c r="M36" i="31"/>
  <c r="E36" i="31"/>
  <c r="J36" i="31" l="1"/>
  <c r="K36" i="31" s="1"/>
  <c r="J38" i="31"/>
  <c r="K38" i="31" s="1"/>
  <c r="J40" i="31"/>
  <c r="K40" i="31" s="1"/>
  <c r="K39" i="31"/>
  <c r="K37" i="31"/>
  <c r="N36" i="31" l="1"/>
  <c r="N40" i="31"/>
  <c r="N38" i="31"/>
  <c r="N39" i="31"/>
  <c r="N37" i="31"/>
  <c r="M58" i="31" l="1"/>
  <c r="J58" i="31" s="1"/>
  <c r="M57" i="31"/>
  <c r="J57" i="31" s="1"/>
  <c r="M56" i="31"/>
  <c r="M55" i="31"/>
  <c r="J56" i="31" l="1"/>
  <c r="J55" i="31"/>
  <c r="K55" i="31" s="1"/>
  <c r="K57" i="31"/>
  <c r="K56" i="31"/>
  <c r="K58" i="31"/>
  <c r="N56" i="31"/>
  <c r="N57" i="31"/>
  <c r="M56" i="19"/>
  <c r="J56" i="19" s="1"/>
  <c r="E56" i="19"/>
  <c r="N55" i="31" l="1"/>
  <c r="N58" i="31"/>
  <c r="K56" i="19"/>
  <c r="M15" i="19"/>
  <c r="J15" i="19" s="1"/>
  <c r="N56" i="19" l="1"/>
  <c r="D87" i="24" l="1"/>
  <c r="F87" i="24"/>
  <c r="F85" i="3"/>
  <c r="D85" i="3"/>
  <c r="M54" i="31" l="1"/>
  <c r="J54" i="31" s="1"/>
  <c r="M53" i="31"/>
  <c r="I14" i="31"/>
  <c r="D14" i="31"/>
  <c r="C14" i="31"/>
  <c r="C70" i="31"/>
  <c r="C13" i="32" s="1"/>
  <c r="M16" i="31"/>
  <c r="E16" i="31"/>
  <c r="M15" i="31"/>
  <c r="E15" i="31"/>
  <c r="I17" i="31"/>
  <c r="J9" i="32" s="1"/>
  <c r="D17" i="31"/>
  <c r="D9" i="32" s="1"/>
  <c r="C17" i="31"/>
  <c r="C9" i="32" s="1"/>
  <c r="D8" i="32" l="1"/>
  <c r="J8" i="32"/>
  <c r="C8" i="32"/>
  <c r="K15" i="31"/>
  <c r="N53" i="31"/>
  <c r="K54" i="31"/>
  <c r="J16" i="31"/>
  <c r="E17" i="31"/>
  <c r="F9" i="32" s="1"/>
  <c r="M17" i="31"/>
  <c r="N9" i="32" s="1"/>
  <c r="N15" i="31" l="1"/>
  <c r="N54" i="31"/>
  <c r="J17" i="31"/>
  <c r="K9" i="32" s="1"/>
  <c r="K16" i="31"/>
  <c r="N16" i="31"/>
  <c r="E62" i="19"/>
  <c r="M62" i="19"/>
  <c r="C39" i="19"/>
  <c r="I17" i="19"/>
  <c r="D17" i="19"/>
  <c r="C17" i="19"/>
  <c r="M16" i="19"/>
  <c r="J16" i="19" s="1"/>
  <c r="E16" i="19"/>
  <c r="E15" i="19"/>
  <c r="F41" i="24"/>
  <c r="D9" i="16" l="1"/>
  <c r="D9" i="34" s="1"/>
  <c r="C9" i="16"/>
  <c r="F9" i="16" s="1"/>
  <c r="J9" i="16"/>
  <c r="J9" i="34" s="1"/>
  <c r="N17" i="31"/>
  <c r="O9" i="32" s="1"/>
  <c r="K15" i="19"/>
  <c r="J62" i="19"/>
  <c r="K62" i="19" s="1"/>
  <c r="K17" i="31"/>
  <c r="L9" i="32" s="1"/>
  <c r="M17" i="19"/>
  <c r="N9" i="16" s="1"/>
  <c r="D58" i="3"/>
  <c r="F124" i="20"/>
  <c r="F120" i="20"/>
  <c r="F115" i="20"/>
  <c r="F99" i="20"/>
  <c r="F90" i="20"/>
  <c r="F84" i="20"/>
  <c r="F80" i="20"/>
  <c r="F77" i="20"/>
  <c r="F47" i="20"/>
  <c r="F43" i="20"/>
  <c r="F37" i="20"/>
  <c r="F28" i="20"/>
  <c r="F21" i="20"/>
  <c r="F17" i="20"/>
  <c r="F10" i="20"/>
  <c r="I70" i="31"/>
  <c r="J13" i="32" s="1"/>
  <c r="I7" i="31"/>
  <c r="D114" i="3"/>
  <c r="F114" i="3"/>
  <c r="F101" i="3"/>
  <c r="F71" i="3"/>
  <c r="F68" i="3"/>
  <c r="F65" i="3"/>
  <c r="F47" i="3"/>
  <c r="E32" i="1" s="1"/>
  <c r="F43" i="3"/>
  <c r="F37" i="3"/>
  <c r="F28" i="3"/>
  <c r="F21" i="3"/>
  <c r="F17" i="3"/>
  <c r="F10" i="3"/>
  <c r="I65" i="19"/>
  <c r="J13" i="16" s="1"/>
  <c r="C65" i="19"/>
  <c r="I63" i="19"/>
  <c r="J12" i="16" s="1"/>
  <c r="J12" i="34" s="1"/>
  <c r="C63" i="19"/>
  <c r="I39" i="19"/>
  <c r="I14" i="19"/>
  <c r="C14" i="19"/>
  <c r="C11" i="34" l="1"/>
  <c r="C12" i="16"/>
  <c r="C12" i="34" s="1"/>
  <c r="N12" i="34" s="1"/>
  <c r="C9" i="34"/>
  <c r="C8" i="16"/>
  <c r="C8" i="34" s="1"/>
  <c r="J8" i="16"/>
  <c r="C13" i="16"/>
  <c r="C13" i="34" s="1"/>
  <c r="J13" i="34"/>
  <c r="N62" i="19"/>
  <c r="N15" i="19"/>
  <c r="J17" i="19"/>
  <c r="K9" i="16" s="1"/>
  <c r="K9" i="34" s="1"/>
  <c r="L9" i="34" s="1"/>
  <c r="K16" i="19"/>
  <c r="N16" i="19"/>
  <c r="J8" i="34"/>
  <c r="J11" i="34"/>
  <c r="A2" i="16"/>
  <c r="N9" i="34" l="1"/>
  <c r="F9" i="34"/>
  <c r="O9" i="34" s="1"/>
  <c r="N13" i="34"/>
  <c r="N8" i="34"/>
  <c r="N11" i="34"/>
  <c r="N17" i="19"/>
  <c r="O9" i="16" s="1"/>
  <c r="A2" i="24"/>
  <c r="B87" i="24"/>
  <c r="A2" i="34"/>
  <c r="J36" i="34"/>
  <c r="O7" i="34"/>
  <c r="N7" i="34"/>
  <c r="L7" i="34"/>
  <c r="J7" i="34"/>
  <c r="A2" i="19" l="1"/>
  <c r="A43" i="19" s="1"/>
  <c r="A106" i="3"/>
  <c r="A54" i="3"/>
  <c r="A2" i="3"/>
  <c r="A2" i="21"/>
  <c r="A2" i="31"/>
  <c r="A45" i="31" s="1"/>
  <c r="A2" i="32"/>
  <c r="A66" i="20"/>
  <c r="A2" i="20"/>
  <c r="A2" i="15"/>
  <c r="D99" i="20"/>
  <c r="K53" i="31"/>
  <c r="E53" i="31"/>
  <c r="F118" i="3"/>
  <c r="D70" i="31" l="1"/>
  <c r="D13" i="32" s="1"/>
  <c r="M69" i="31"/>
  <c r="J69" i="31" s="1"/>
  <c r="E69" i="31"/>
  <c r="E70" i="31" s="1"/>
  <c r="F13" i="32" s="1"/>
  <c r="M66" i="31"/>
  <c r="J66" i="31" s="1"/>
  <c r="E66" i="31"/>
  <c r="M65" i="31"/>
  <c r="E65" i="31"/>
  <c r="M63" i="31"/>
  <c r="E63" i="31"/>
  <c r="C50" i="31"/>
  <c r="I52" i="31"/>
  <c r="I59" i="31" s="1"/>
  <c r="D52" i="31"/>
  <c r="D59" i="31" s="1"/>
  <c r="C52" i="31"/>
  <c r="C59" i="31" s="1"/>
  <c r="M35" i="31"/>
  <c r="J35" i="31" s="1"/>
  <c r="E35" i="31"/>
  <c r="M34" i="31"/>
  <c r="J34" i="31" s="1"/>
  <c r="E34" i="31"/>
  <c r="M33" i="31"/>
  <c r="J33" i="31" s="1"/>
  <c r="E33" i="31"/>
  <c r="M32" i="31"/>
  <c r="J32" i="31" s="1"/>
  <c r="E32" i="31"/>
  <c r="M31" i="31"/>
  <c r="J31" i="31" s="1"/>
  <c r="E31" i="31"/>
  <c r="M30" i="31"/>
  <c r="J30" i="31" s="1"/>
  <c r="E30" i="31"/>
  <c r="M29" i="31"/>
  <c r="J29" i="31" s="1"/>
  <c r="E29" i="31"/>
  <c r="M28" i="31"/>
  <c r="J28" i="31" s="1"/>
  <c r="E28" i="31"/>
  <c r="M27" i="31"/>
  <c r="J27" i="31" s="1"/>
  <c r="E27" i="31"/>
  <c r="M26" i="31"/>
  <c r="J26" i="31" s="1"/>
  <c r="E26" i="31"/>
  <c r="M25" i="31"/>
  <c r="J25" i="31" s="1"/>
  <c r="E25" i="31"/>
  <c r="M24" i="31"/>
  <c r="J24" i="31" s="1"/>
  <c r="E24" i="31"/>
  <c r="M23" i="31"/>
  <c r="J23" i="31" s="1"/>
  <c r="E23" i="31"/>
  <c r="M22" i="31"/>
  <c r="J22" i="31" s="1"/>
  <c r="E22" i="31"/>
  <c r="M21" i="31"/>
  <c r="J21" i="31" s="1"/>
  <c r="E21" i="31"/>
  <c r="M20" i="31"/>
  <c r="J20" i="31" s="1"/>
  <c r="E20" i="31"/>
  <c r="M19" i="31"/>
  <c r="J19" i="31" s="1"/>
  <c r="E19" i="31"/>
  <c r="M18" i="31"/>
  <c r="J18" i="31" s="1"/>
  <c r="E18" i="31"/>
  <c r="M13" i="31"/>
  <c r="J13" i="31" s="1"/>
  <c r="E13" i="31"/>
  <c r="M12" i="31"/>
  <c r="E12" i="31"/>
  <c r="M11" i="31"/>
  <c r="E11" i="31"/>
  <c r="M10" i="31"/>
  <c r="E10" i="31"/>
  <c r="M9" i="31"/>
  <c r="K9" i="31" s="1"/>
  <c r="E9" i="31"/>
  <c r="K7" i="31"/>
  <c r="N7" i="31" s="1"/>
  <c r="N50" i="31" s="1"/>
  <c r="K50" i="31" s="1"/>
  <c r="E50" i="31" s="1"/>
  <c r="M7" i="31"/>
  <c r="M50" i="31" s="1"/>
  <c r="I50" i="31" s="1"/>
  <c r="J37" i="32"/>
  <c r="O7" i="32"/>
  <c r="N7" i="32"/>
  <c r="L7" i="32"/>
  <c r="J7" i="32"/>
  <c r="E9" i="19"/>
  <c r="E10" i="19"/>
  <c r="E11" i="19"/>
  <c r="E12" i="19"/>
  <c r="E13" i="19"/>
  <c r="D10" i="32" l="1"/>
  <c r="D14" i="32" s="1"/>
  <c r="D72" i="31"/>
  <c r="J10" i="32"/>
  <c r="J14" i="32" s="1"/>
  <c r="I72" i="31"/>
  <c r="C10" i="32"/>
  <c r="C14" i="32" s="1"/>
  <c r="C72" i="31"/>
  <c r="E68" i="31"/>
  <c r="F12" i="32" s="1"/>
  <c r="M68" i="31"/>
  <c r="N12" i="32" s="1"/>
  <c r="J68" i="31"/>
  <c r="K12" i="32" s="1"/>
  <c r="M41" i="31"/>
  <c r="M52" i="31" s="1"/>
  <c r="M59" i="31" s="1"/>
  <c r="N10" i="32" s="1"/>
  <c r="E41" i="31"/>
  <c r="E52" i="31" s="1"/>
  <c r="E59" i="31" s="1"/>
  <c r="F10" i="32" s="1"/>
  <c r="K21" i="31"/>
  <c r="J10" i="31"/>
  <c r="K28" i="31"/>
  <c r="K31" i="31"/>
  <c r="K35" i="31"/>
  <c r="K65" i="31"/>
  <c r="M70" i="31"/>
  <c r="N13" i="32" s="1"/>
  <c r="N69" i="31"/>
  <c r="N70" i="31" s="1"/>
  <c r="O13" i="32" s="1"/>
  <c r="K13" i="31"/>
  <c r="K20" i="31"/>
  <c r="K24" i="31"/>
  <c r="K27" i="31"/>
  <c r="K30" i="31"/>
  <c r="K34" i="31"/>
  <c r="J12" i="31"/>
  <c r="K12" i="31" s="1"/>
  <c r="K19" i="31"/>
  <c r="K23" i="31"/>
  <c r="K26" i="31"/>
  <c r="K33" i="31"/>
  <c r="J11" i="31"/>
  <c r="K11" i="31" s="1"/>
  <c r="K22" i="31"/>
  <c r="K25" i="31"/>
  <c r="K29" i="31"/>
  <c r="K32" i="31"/>
  <c r="K66" i="31"/>
  <c r="N9" i="31"/>
  <c r="M14" i="31"/>
  <c r="E14" i="31"/>
  <c r="F82" i="24"/>
  <c r="D95" i="24"/>
  <c r="D82" i="24"/>
  <c r="F8" i="32" l="1"/>
  <c r="F14" i="32" s="1"/>
  <c r="E72" i="31"/>
  <c r="M72" i="31"/>
  <c r="N8" i="32"/>
  <c r="N14" i="32" s="1"/>
  <c r="K63" i="31"/>
  <c r="K68" i="31" s="1"/>
  <c r="L12" i="32" s="1"/>
  <c r="N63" i="31"/>
  <c r="N18" i="31"/>
  <c r="J41" i="31"/>
  <c r="J52" i="31" s="1"/>
  <c r="J59" i="31" s="1"/>
  <c r="K10" i="32" s="1"/>
  <c r="N65" i="31"/>
  <c r="N21" i="31"/>
  <c r="N24" i="31"/>
  <c r="N30" i="31"/>
  <c r="N13" i="31"/>
  <c r="N12" i="31"/>
  <c r="N35" i="31"/>
  <c r="N28" i="31"/>
  <c r="N29" i="31"/>
  <c r="N22" i="31"/>
  <c r="N11" i="31"/>
  <c r="N23" i="31"/>
  <c r="J14" i="31"/>
  <c r="K10" i="31"/>
  <c r="K69" i="31"/>
  <c r="K70" i="31" s="1"/>
  <c r="L13" i="32" s="1"/>
  <c r="J70" i="31"/>
  <c r="K13" i="32" s="1"/>
  <c r="N31" i="31"/>
  <c r="N10" i="31"/>
  <c r="N66" i="31"/>
  <c r="N32" i="31"/>
  <c r="N25" i="31"/>
  <c r="N33" i="31"/>
  <c r="N26" i="31"/>
  <c r="N19" i="31"/>
  <c r="N34" i="31"/>
  <c r="N27" i="31"/>
  <c r="N20" i="31"/>
  <c r="K18" i="31"/>
  <c r="D124" i="20"/>
  <c r="C29" i="15" s="1"/>
  <c r="K29" i="15" s="1"/>
  <c r="K8" i="32" l="1"/>
  <c r="K14" i="32" s="1"/>
  <c r="J72" i="31"/>
  <c r="N68" i="31"/>
  <c r="O12" i="32" s="1"/>
  <c r="N14" i="31"/>
  <c r="K41" i="31"/>
  <c r="K52" i="31" s="1"/>
  <c r="K59" i="31" s="1"/>
  <c r="L10" i="32" s="1"/>
  <c r="N41" i="31"/>
  <c r="N52" i="31" s="1"/>
  <c r="K14" i="31"/>
  <c r="F30" i="20"/>
  <c r="M55" i="19"/>
  <c r="J55" i="19" s="1"/>
  <c r="M54" i="19"/>
  <c r="J54" i="19" s="1"/>
  <c r="F5" i="20"/>
  <c r="F69" i="20" s="1"/>
  <c r="D5" i="20"/>
  <c r="D69" i="20" s="1"/>
  <c r="O8" i="32" l="1"/>
  <c r="L8" i="32"/>
  <c r="L14" i="32" s="1"/>
  <c r="K72" i="31"/>
  <c r="F32" i="20"/>
  <c r="N59" i="31"/>
  <c r="O10" i="32" s="1"/>
  <c r="D126" i="20"/>
  <c r="D120" i="20"/>
  <c r="N72" i="31" l="1"/>
  <c r="O14" i="32"/>
  <c r="D128" i="20"/>
  <c r="C31" i="15"/>
  <c r="K31" i="15" s="1"/>
  <c r="D30" i="20"/>
  <c r="N55" i="19" l="1"/>
  <c r="N54" i="19"/>
  <c r="K55" i="19"/>
  <c r="K54" i="19"/>
  <c r="E55" i="19"/>
  <c r="E54" i="19"/>
  <c r="D43" i="20" l="1"/>
  <c r="O7" i="16" l="1"/>
  <c r="N7" i="16"/>
  <c r="L7" i="16"/>
  <c r="J7" i="16"/>
  <c r="A1" i="25"/>
  <c r="D57" i="24"/>
  <c r="A56" i="24"/>
  <c r="A109" i="24" s="1"/>
  <c r="A55" i="24"/>
  <c r="A108" i="24" s="1"/>
  <c r="A54" i="24"/>
  <c r="A107" i="24" s="1"/>
  <c r="A1" i="15"/>
  <c r="F58" i="3"/>
  <c r="F110" i="3" s="1"/>
  <c r="D110" i="3"/>
  <c r="A107" i="3"/>
  <c r="A105" i="3"/>
  <c r="F57" i="24" l="1"/>
  <c r="D110" i="24"/>
  <c r="F110" i="24" s="1"/>
  <c r="D65" i="19"/>
  <c r="D63" i="19"/>
  <c r="I50" i="19"/>
  <c r="I57" i="19" s="1"/>
  <c r="D39" i="19"/>
  <c r="D50" i="19" s="1"/>
  <c r="D57" i="19" s="1"/>
  <c r="C50" i="19"/>
  <c r="C57" i="19" s="1"/>
  <c r="D86" i="24"/>
  <c r="F81" i="24"/>
  <c r="F77" i="24"/>
  <c r="F43" i="24"/>
  <c r="F42" i="24"/>
  <c r="F44" i="24"/>
  <c r="F25" i="24"/>
  <c r="F17" i="24"/>
  <c r="F16" i="24"/>
  <c r="F37" i="24"/>
  <c r="F36" i="24"/>
  <c r="F28" i="24"/>
  <c r="F27" i="24"/>
  <c r="E17" i="22"/>
  <c r="F9" i="24"/>
  <c r="F11" i="24" s="1"/>
  <c r="E10" i="26" s="1"/>
  <c r="K10" i="26" s="1"/>
  <c r="F99" i="24"/>
  <c r="F96" i="24"/>
  <c r="F118" i="24"/>
  <c r="F91" i="24"/>
  <c r="E29" i="15"/>
  <c r="L29" i="15" s="1"/>
  <c r="F86" i="24"/>
  <c r="F90" i="24"/>
  <c r="F102" i="24"/>
  <c r="F84" i="24"/>
  <c r="F94" i="24"/>
  <c r="F92" i="24"/>
  <c r="F93" i="24"/>
  <c r="F83" i="24"/>
  <c r="F98" i="24"/>
  <c r="F97" i="24"/>
  <c r="F76" i="24"/>
  <c r="F64" i="24"/>
  <c r="D77" i="24"/>
  <c r="D43" i="24"/>
  <c r="D25" i="24"/>
  <c r="D17" i="24"/>
  <c r="D16" i="24"/>
  <c r="D27" i="24"/>
  <c r="D42" i="24"/>
  <c r="D28" i="20"/>
  <c r="D19" i="22" s="1"/>
  <c r="L21" i="22" s="1"/>
  <c r="D21" i="24"/>
  <c r="D23" i="24" s="1"/>
  <c r="D16" i="26" s="1"/>
  <c r="J16" i="26" s="1"/>
  <c r="D9" i="24"/>
  <c r="D11" i="24" s="1"/>
  <c r="D10" i="26" s="1"/>
  <c r="D99" i="24"/>
  <c r="D96" i="24"/>
  <c r="D94" i="24"/>
  <c r="D91" i="24"/>
  <c r="D93" i="24"/>
  <c r="D98" i="24"/>
  <c r="D97" i="24"/>
  <c r="D83" i="24"/>
  <c r="D84" i="24"/>
  <c r="D81" i="24"/>
  <c r="D76" i="24"/>
  <c r="D64" i="24"/>
  <c r="D63" i="24"/>
  <c r="F26" i="24"/>
  <c r="C20" i="21"/>
  <c r="D14" i="19"/>
  <c r="M53" i="19"/>
  <c r="E53" i="19"/>
  <c r="M52" i="19"/>
  <c r="E52" i="19"/>
  <c r="M51" i="19"/>
  <c r="E51" i="19"/>
  <c r="M13" i="19"/>
  <c r="J13" i="19" s="1"/>
  <c r="M10" i="19"/>
  <c r="J10" i="19" s="1"/>
  <c r="M12" i="19"/>
  <c r="J12" i="19" s="1"/>
  <c r="M38" i="19"/>
  <c r="J38" i="19" s="1"/>
  <c r="E38" i="19"/>
  <c r="M9" i="19"/>
  <c r="M37" i="19"/>
  <c r="J37" i="19" s="1"/>
  <c r="E37" i="19"/>
  <c r="M36" i="19"/>
  <c r="J36" i="19" s="1"/>
  <c r="E36" i="19"/>
  <c r="M35" i="19"/>
  <c r="J35" i="19" s="1"/>
  <c r="E35" i="19"/>
  <c r="M34" i="19"/>
  <c r="J34" i="19" s="1"/>
  <c r="E34" i="19"/>
  <c r="C48" i="19"/>
  <c r="M33" i="19"/>
  <c r="J33" i="19" s="1"/>
  <c r="E33" i="19"/>
  <c r="M32" i="19"/>
  <c r="J32" i="19" s="1"/>
  <c r="E32" i="19"/>
  <c r="M31" i="19"/>
  <c r="J31" i="19" s="1"/>
  <c r="E31" i="19"/>
  <c r="M30" i="19"/>
  <c r="J30" i="19" s="1"/>
  <c r="E30" i="19"/>
  <c r="M29" i="19"/>
  <c r="J29" i="19" s="1"/>
  <c r="E29" i="19"/>
  <c r="M28" i="19"/>
  <c r="J28" i="19" s="1"/>
  <c r="E28" i="19"/>
  <c r="M27" i="19"/>
  <c r="J27" i="19" s="1"/>
  <c r="E27" i="19"/>
  <c r="M26" i="19"/>
  <c r="J26" i="19" s="1"/>
  <c r="E26" i="19"/>
  <c r="M11" i="19"/>
  <c r="J11" i="19" s="1"/>
  <c r="M25" i="19"/>
  <c r="J25" i="19" s="1"/>
  <c r="E25" i="19"/>
  <c r="M24" i="19"/>
  <c r="J24" i="19" s="1"/>
  <c r="E24" i="19"/>
  <c r="M23" i="19"/>
  <c r="J23" i="19" s="1"/>
  <c r="E23" i="19"/>
  <c r="M22" i="19"/>
  <c r="J22" i="19" s="1"/>
  <c r="E22" i="19"/>
  <c r="M21" i="19"/>
  <c r="J21" i="19" s="1"/>
  <c r="E21" i="19"/>
  <c r="M64" i="19"/>
  <c r="J64" i="19" s="1"/>
  <c r="E64" i="19"/>
  <c r="E65" i="19" s="1"/>
  <c r="M20" i="19"/>
  <c r="J20" i="19" s="1"/>
  <c r="E20" i="19"/>
  <c r="M19" i="19"/>
  <c r="J19" i="19" s="1"/>
  <c r="E19" i="19"/>
  <c r="M60" i="19"/>
  <c r="E60" i="19"/>
  <c r="M18" i="19"/>
  <c r="J18" i="19" s="1"/>
  <c r="E18" i="19"/>
  <c r="K7" i="19"/>
  <c r="N7" i="19" s="1"/>
  <c r="N48" i="19" s="1"/>
  <c r="K48" i="19" s="1"/>
  <c r="E48" i="19" s="1"/>
  <c r="I7" i="19"/>
  <c r="M7" i="19" s="1"/>
  <c r="M48" i="19" s="1"/>
  <c r="I48" i="19" s="1"/>
  <c r="J37" i="16"/>
  <c r="B15" i="10"/>
  <c r="D36" i="14"/>
  <c r="G36" i="14"/>
  <c r="D39" i="14"/>
  <c r="G39" i="14"/>
  <c r="D42" i="14"/>
  <c r="G42" i="14"/>
  <c r="D104" i="14"/>
  <c r="C8" i="13"/>
  <c r="B12" i="13"/>
  <c r="B13" i="13"/>
  <c r="B14" i="13"/>
  <c r="D30" i="13"/>
  <c r="C35" i="13"/>
  <c r="B36" i="13"/>
  <c r="C36" i="13" s="1"/>
  <c r="B37" i="13"/>
  <c r="C37" i="13" s="1"/>
  <c r="B38" i="13"/>
  <c r="C38" i="13" s="1"/>
  <c r="B39" i="13"/>
  <c r="C39" i="13" s="1"/>
  <c r="B21" i="12"/>
  <c r="B23" i="12" s="1"/>
  <c r="C8" i="12" s="1"/>
  <c r="D8" i="12" s="1"/>
  <c r="B41" i="12"/>
  <c r="B42" i="12"/>
  <c r="C14" i="11"/>
  <c r="G14" i="11" s="1"/>
  <c r="I14" i="11"/>
  <c r="C16" i="11"/>
  <c r="G16" i="11" s="1"/>
  <c r="I16" i="11"/>
  <c r="C18" i="11"/>
  <c r="G18" i="11" s="1"/>
  <c r="I18" i="11"/>
  <c r="C20" i="11"/>
  <c r="F20" i="11"/>
  <c r="I20" i="11"/>
  <c r="D22" i="11"/>
  <c r="E22" i="11"/>
  <c r="E26" i="11"/>
  <c r="E27" i="11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D22" i="8"/>
  <c r="E22" i="8" s="1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C43" i="8"/>
  <c r="E43" i="8" s="1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C8" i="7"/>
  <c r="D8" i="7" s="1"/>
  <c r="D10" i="7"/>
  <c r="E10" i="7" s="1"/>
  <c r="D12" i="7"/>
  <c r="E12" i="7" s="1"/>
  <c r="C14" i="7"/>
  <c r="D14" i="7" s="1"/>
  <c r="E14" i="7" s="1"/>
  <c r="D16" i="7"/>
  <c r="E16" i="7" s="1"/>
  <c r="D18" i="7"/>
  <c r="E18" i="7" s="1"/>
  <c r="D20" i="7"/>
  <c r="E20" i="7" s="1"/>
  <c r="D22" i="7"/>
  <c r="E22" i="7" s="1"/>
  <c r="C3" i="6"/>
  <c r="C19" i="6"/>
  <c r="D19" i="6"/>
  <c r="D53" i="6"/>
  <c r="D54" i="6"/>
  <c r="F56" i="6"/>
  <c r="C68" i="6"/>
  <c r="E68" i="6"/>
  <c r="M6" i="5"/>
  <c r="P6" i="5"/>
  <c r="E7" i="5"/>
  <c r="I7" i="5"/>
  <c r="M8" i="5"/>
  <c r="O8" i="5" s="1"/>
  <c r="E9" i="5"/>
  <c r="I9" i="5"/>
  <c r="E11" i="5"/>
  <c r="I11" i="5"/>
  <c r="E13" i="5"/>
  <c r="I13" i="5"/>
  <c r="B15" i="5"/>
  <c r="C15" i="5"/>
  <c r="D15" i="5"/>
  <c r="F15" i="5"/>
  <c r="G15" i="5"/>
  <c r="O15" i="5"/>
  <c r="N18" i="5"/>
  <c r="N19" i="5"/>
  <c r="G24" i="5"/>
  <c r="K24" i="5" s="1"/>
  <c r="E26" i="5"/>
  <c r="G26" i="5" s="1"/>
  <c r="C29" i="5"/>
  <c r="I29" i="5"/>
  <c r="D37" i="5"/>
  <c r="D39" i="5"/>
  <c r="D43" i="5"/>
  <c r="D45" i="5"/>
  <c r="D49" i="5"/>
  <c r="D51" i="5"/>
  <c r="D53" i="5"/>
  <c r="D55" i="5"/>
  <c r="B11" i="9"/>
  <c r="C13" i="9" s="1"/>
  <c r="C19" i="9" s="1"/>
  <c r="G16" i="9"/>
  <c r="G13" i="4" s="1"/>
  <c r="I13" i="4" s="1"/>
  <c r="G18" i="9"/>
  <c r="C24" i="9"/>
  <c r="C26" i="9" s="1"/>
  <c r="G25" i="9"/>
  <c r="H26" i="9" s="1"/>
  <c r="G28" i="9"/>
  <c r="G15" i="4" s="1"/>
  <c r="I15" i="4" s="1"/>
  <c r="C29" i="9"/>
  <c r="G31" i="9"/>
  <c r="H32" i="9" s="1"/>
  <c r="C32" i="9"/>
  <c r="E9" i="4"/>
  <c r="I9" i="4"/>
  <c r="E11" i="4"/>
  <c r="E13" i="4"/>
  <c r="E15" i="4"/>
  <c r="D17" i="4"/>
  <c r="E17" i="4" s="1"/>
  <c r="J17" i="4"/>
  <c r="B19" i="4"/>
  <c r="C19" i="4"/>
  <c r="F19" i="4"/>
  <c r="K19" i="4"/>
  <c r="C13" i="12" s="1"/>
  <c r="C10" i="2"/>
  <c r="E10" i="2"/>
  <c r="C11" i="2"/>
  <c r="E11" i="2"/>
  <c r="C12" i="2"/>
  <c r="E12" i="2"/>
  <c r="C17" i="2"/>
  <c r="E17" i="2"/>
  <c r="C18" i="2"/>
  <c r="E18" i="2"/>
  <c r="C19" i="2"/>
  <c r="E19" i="2"/>
  <c r="C20" i="2"/>
  <c r="E20" i="2"/>
  <c r="E21" i="2"/>
  <c r="C26" i="2"/>
  <c r="C28" i="2"/>
  <c r="E28" i="2"/>
  <c r="C29" i="2"/>
  <c r="E29" i="2"/>
  <c r="E30" i="2"/>
  <c r="H31" i="2"/>
  <c r="J31" i="2" s="1"/>
  <c r="E32" i="2"/>
  <c r="D10" i="3"/>
  <c r="D10" i="1" s="1"/>
  <c r="E10" i="1"/>
  <c r="D17" i="3"/>
  <c r="D16" i="1" s="1"/>
  <c r="D21" i="3"/>
  <c r="D18" i="1" s="1"/>
  <c r="E18" i="1"/>
  <c r="E28" i="1"/>
  <c r="D47" i="3"/>
  <c r="D32" i="1" s="1"/>
  <c r="D65" i="3"/>
  <c r="C10" i="21" s="1"/>
  <c r="E10" i="21"/>
  <c r="D68" i="3"/>
  <c r="C12" i="21" s="1"/>
  <c r="E12" i="21"/>
  <c r="D71" i="3"/>
  <c r="C14" i="21" s="1"/>
  <c r="E14" i="21"/>
  <c r="E20" i="21"/>
  <c r="C22" i="21"/>
  <c r="E22" i="21"/>
  <c r="E24" i="21"/>
  <c r="C26" i="21"/>
  <c r="E26" i="21"/>
  <c r="D118" i="3"/>
  <c r="C28" i="21" s="1"/>
  <c r="D17" i="20"/>
  <c r="D15" i="22" s="1"/>
  <c r="E15" i="22"/>
  <c r="D21" i="20"/>
  <c r="D17" i="22" s="1"/>
  <c r="E27" i="22"/>
  <c r="M29" i="22" s="1"/>
  <c r="E31" i="22"/>
  <c r="M33" i="22" s="1"/>
  <c r="D84" i="20"/>
  <c r="C15" i="15" s="1"/>
  <c r="K15" i="15" s="1"/>
  <c r="E21" i="15"/>
  <c r="L21" i="15" s="1"/>
  <c r="E27" i="15"/>
  <c r="L27" i="15" s="1"/>
  <c r="A1" i="21"/>
  <c r="A1" i="1" s="1"/>
  <c r="C7" i="21"/>
  <c r="E7" i="21"/>
  <c r="C7" i="15"/>
  <c r="D6" i="22" s="1"/>
  <c r="E7" i="15"/>
  <c r="E6" i="22" s="1"/>
  <c r="E16" i="1"/>
  <c r="A1" i="26"/>
  <c r="C7" i="25"/>
  <c r="D5" i="24" s="1"/>
  <c r="D58" i="24" s="1"/>
  <c r="D111" i="24" s="1"/>
  <c r="E7" i="25"/>
  <c r="F5" i="24" s="1"/>
  <c r="F58" i="24" s="1"/>
  <c r="F111" i="24" s="1"/>
  <c r="F21" i="24"/>
  <c r="F23" i="24" s="1"/>
  <c r="E16" i="26" s="1"/>
  <c r="K16" i="26" s="1"/>
  <c r="E29" i="22"/>
  <c r="M31" i="22" s="1"/>
  <c r="D118" i="24"/>
  <c r="C10" i="16" l="1"/>
  <c r="C14" i="16" s="1"/>
  <c r="C67" i="19"/>
  <c r="D13" i="16"/>
  <c r="F13" i="16" s="1"/>
  <c r="D8" i="16"/>
  <c r="F8" i="16" s="1"/>
  <c r="J10" i="16"/>
  <c r="J14" i="16" s="1"/>
  <c r="I67" i="19"/>
  <c r="D11" i="34"/>
  <c r="F11" i="34" s="1"/>
  <c r="D12" i="16"/>
  <c r="D10" i="16"/>
  <c r="D67" i="19"/>
  <c r="J10" i="26"/>
  <c r="J9" i="19"/>
  <c r="K9" i="19" s="1"/>
  <c r="G17" i="4"/>
  <c r="H17" i="4" s="1"/>
  <c r="I17" i="4" s="1"/>
  <c r="K22" i="19"/>
  <c r="H16" i="11"/>
  <c r="J16" i="11" s="1"/>
  <c r="K16" i="11" s="1"/>
  <c r="J9" i="4"/>
  <c r="B7" i="10" s="1"/>
  <c r="E39" i="5"/>
  <c r="K20" i="19"/>
  <c r="K23" i="19"/>
  <c r="K11" i="19"/>
  <c r="K29" i="19"/>
  <c r="K33" i="19"/>
  <c r="K34" i="19"/>
  <c r="K12" i="19"/>
  <c r="J53" i="19"/>
  <c r="K53" i="19" s="1"/>
  <c r="C10" i="34"/>
  <c r="E55" i="5"/>
  <c r="K19" i="19"/>
  <c r="K28" i="19"/>
  <c r="K32" i="19"/>
  <c r="K37" i="19"/>
  <c r="N10" i="19"/>
  <c r="J52" i="19"/>
  <c r="H19" i="9"/>
  <c r="I19" i="9" s="1"/>
  <c r="E45" i="5"/>
  <c r="J60" i="19"/>
  <c r="K21" i="19"/>
  <c r="K25" i="19"/>
  <c r="K27" i="19"/>
  <c r="K31" i="19"/>
  <c r="K36" i="19"/>
  <c r="K38" i="19"/>
  <c r="J51" i="19"/>
  <c r="K51" i="19" s="1"/>
  <c r="K24" i="19"/>
  <c r="K26" i="19"/>
  <c r="K30" i="19"/>
  <c r="K35" i="19"/>
  <c r="K13" i="19"/>
  <c r="C22" i="11"/>
  <c r="C14" i="12" s="1"/>
  <c r="C16" i="12" s="1"/>
  <c r="B6" i="12" s="1"/>
  <c r="B9" i="12" s="1"/>
  <c r="I32" i="9"/>
  <c r="B45" i="12"/>
  <c r="D46" i="12" s="1"/>
  <c r="I15" i="5"/>
  <c r="I26" i="9"/>
  <c r="E15" i="5"/>
  <c r="H18" i="11"/>
  <c r="J18" i="11" s="1"/>
  <c r="K18" i="11" s="1"/>
  <c r="K26" i="5"/>
  <c r="K29" i="5" s="1"/>
  <c r="G29" i="5"/>
  <c r="E19" i="4"/>
  <c r="H29" i="9"/>
  <c r="I29" i="9" s="1"/>
  <c r="E29" i="5"/>
  <c r="N20" i="5"/>
  <c r="N22" i="5" s="1"/>
  <c r="D56" i="6"/>
  <c r="E29" i="11"/>
  <c r="G20" i="11"/>
  <c r="H20" i="11" s="1"/>
  <c r="I22" i="11"/>
  <c r="H14" i="11"/>
  <c r="J14" i="11" s="1"/>
  <c r="K14" i="11" s="1"/>
  <c r="J15" i="4"/>
  <c r="J13" i="4"/>
  <c r="K17" i="19"/>
  <c r="L9" i="16" s="1"/>
  <c r="M14" i="19"/>
  <c r="E17" i="19"/>
  <c r="E14" i="34"/>
  <c r="D88" i="24"/>
  <c r="C25" i="25" s="1"/>
  <c r="J25" i="25" s="1"/>
  <c r="F88" i="24"/>
  <c r="E25" i="25" s="1"/>
  <c r="K25" i="25" s="1"/>
  <c r="E57" i="8"/>
  <c r="C42" i="13"/>
  <c r="C44" i="13" s="1"/>
  <c r="B48" i="13" s="1"/>
  <c r="D23" i="7"/>
  <c r="E8" i="7"/>
  <c r="E23" i="7" s="1"/>
  <c r="C57" i="8"/>
  <c r="G11" i="4"/>
  <c r="I11" i="4" s="1"/>
  <c r="J11" i="4" s="1"/>
  <c r="C23" i="7"/>
  <c r="D57" i="8"/>
  <c r="F22" i="11"/>
  <c r="B41" i="13"/>
  <c r="D19" i="4"/>
  <c r="O6" i="5"/>
  <c r="C16" i="13"/>
  <c r="C17" i="13" s="1"/>
  <c r="E14" i="2"/>
  <c r="C14" i="2"/>
  <c r="E23" i="2"/>
  <c r="C23" i="2"/>
  <c r="E6" i="1"/>
  <c r="F50" i="24"/>
  <c r="E30" i="26" s="1"/>
  <c r="K30" i="26" s="1"/>
  <c r="F75" i="24"/>
  <c r="F79" i="24" s="1"/>
  <c r="E23" i="25" s="1"/>
  <c r="K23" i="25" s="1"/>
  <c r="D29" i="22"/>
  <c r="L31" i="22" s="1"/>
  <c r="E25" i="15"/>
  <c r="L25" i="15" s="1"/>
  <c r="D10" i="20"/>
  <c r="D11" i="22" s="1"/>
  <c r="L11" i="22" s="1"/>
  <c r="D102" i="24"/>
  <c r="F45" i="24"/>
  <c r="E28" i="26" s="1"/>
  <c r="K28" i="26" s="1"/>
  <c r="F119" i="24"/>
  <c r="E31" i="25" s="1"/>
  <c r="K31" i="25" s="1"/>
  <c r="D44" i="24"/>
  <c r="E14" i="25"/>
  <c r="K14" i="25" s="1"/>
  <c r="F63" i="24"/>
  <c r="C27" i="15"/>
  <c r="K27" i="15" s="1"/>
  <c r="E23" i="15"/>
  <c r="L23" i="15" s="1"/>
  <c r="E15" i="15"/>
  <c r="L15" i="15" s="1"/>
  <c r="E13" i="15"/>
  <c r="L13" i="15" s="1"/>
  <c r="D31" i="22"/>
  <c r="L33" i="22" s="1"/>
  <c r="E19" i="22"/>
  <c r="M21" i="22" s="1"/>
  <c r="E11" i="22"/>
  <c r="M11" i="22" s="1"/>
  <c r="D41" i="24"/>
  <c r="D37" i="20"/>
  <c r="D27" i="22" s="1"/>
  <c r="L29" i="22" s="1"/>
  <c r="C11" i="15"/>
  <c r="K11" i="15" s="1"/>
  <c r="D75" i="24"/>
  <c r="D79" i="24" s="1"/>
  <c r="C23" i="25" s="1"/>
  <c r="J23" i="25" s="1"/>
  <c r="D26" i="24"/>
  <c r="D28" i="24"/>
  <c r="E11" i="15"/>
  <c r="L11" i="15" s="1"/>
  <c r="C23" i="15"/>
  <c r="K23" i="15" s="1"/>
  <c r="D119" i="24"/>
  <c r="C31" i="25" s="1"/>
  <c r="J31" i="25" s="1"/>
  <c r="D90" i="20"/>
  <c r="C21" i="15" s="1"/>
  <c r="K21" i="15" s="1"/>
  <c r="D80" i="20"/>
  <c r="C13" i="15" s="1"/>
  <c r="K13" i="15" s="1"/>
  <c r="D92" i="24"/>
  <c r="F116" i="24"/>
  <c r="E29" i="25" s="1"/>
  <c r="K29" i="25" s="1"/>
  <c r="E25" i="22"/>
  <c r="D28" i="3"/>
  <c r="D20" i="1" s="1"/>
  <c r="D116" i="24"/>
  <c r="C29" i="25" s="1"/>
  <c r="J29" i="25" s="1"/>
  <c r="C16" i="25"/>
  <c r="J16" i="25" s="1"/>
  <c r="C14" i="25"/>
  <c r="J14" i="25" s="1"/>
  <c r="E16" i="25"/>
  <c r="K16" i="25" s="1"/>
  <c r="E28" i="21"/>
  <c r="E32" i="21" s="1"/>
  <c r="E30" i="1"/>
  <c r="D5" i="26"/>
  <c r="F30" i="24"/>
  <c r="E18" i="26" s="1"/>
  <c r="K18" i="26" s="1"/>
  <c r="E5" i="26"/>
  <c r="D43" i="3"/>
  <c r="D30" i="1" s="1"/>
  <c r="F18" i="24"/>
  <c r="E14" i="26" s="1"/>
  <c r="K14" i="26" s="1"/>
  <c r="C17" i="21"/>
  <c r="D18" i="24"/>
  <c r="D14" i="26" s="1"/>
  <c r="J14" i="26" s="1"/>
  <c r="F103" i="24"/>
  <c r="E27" i="25" s="1"/>
  <c r="K27" i="25" s="1"/>
  <c r="E20" i="1"/>
  <c r="E17" i="21"/>
  <c r="D66" i="24"/>
  <c r="C12" i="25" s="1"/>
  <c r="J12" i="25" s="1"/>
  <c r="D37" i="24"/>
  <c r="D6" i="1"/>
  <c r="D50" i="24"/>
  <c r="D30" i="26" s="1"/>
  <c r="J30" i="26" s="1"/>
  <c r="F39" i="24"/>
  <c r="E26" i="26" s="1"/>
  <c r="K26" i="26" s="1"/>
  <c r="E14" i="19"/>
  <c r="E63" i="19"/>
  <c r="E39" i="19"/>
  <c r="E50" i="19" s="1"/>
  <c r="E57" i="19" s="1"/>
  <c r="M63" i="19"/>
  <c r="N12" i="16" s="1"/>
  <c r="M65" i="19"/>
  <c r="N13" i="16" s="1"/>
  <c r="M39" i="19"/>
  <c r="M50" i="19" s="1"/>
  <c r="M57" i="19" s="1"/>
  <c r="N10" i="16" s="1"/>
  <c r="J10" i="34" l="1"/>
  <c r="D13" i="34"/>
  <c r="F13" i="34" s="1"/>
  <c r="N8" i="16"/>
  <c r="N14" i="16" s="1"/>
  <c r="M67" i="19"/>
  <c r="D8" i="34"/>
  <c r="F8" i="34" s="1"/>
  <c r="D12" i="34"/>
  <c r="F12" i="34" s="1"/>
  <c r="F12" i="16"/>
  <c r="E67" i="19"/>
  <c r="F10" i="16"/>
  <c r="D14" i="16"/>
  <c r="K52" i="19"/>
  <c r="N10" i="34"/>
  <c r="N9" i="19"/>
  <c r="E33" i="22"/>
  <c r="M35" i="22" s="1"/>
  <c r="M27" i="22"/>
  <c r="H19" i="4"/>
  <c r="H21" i="4" s="1"/>
  <c r="E56" i="5"/>
  <c r="I19" i="4"/>
  <c r="H34" i="9"/>
  <c r="N12" i="19"/>
  <c r="J19" i="4"/>
  <c r="B13" i="12" s="1"/>
  <c r="N32" i="19"/>
  <c r="N22" i="19"/>
  <c r="N19" i="19"/>
  <c r="N28" i="19"/>
  <c r="K64" i="19"/>
  <c r="K65" i="19" s="1"/>
  <c r="L13" i="16" s="1"/>
  <c r="J65" i="19"/>
  <c r="K13" i="16" s="1"/>
  <c r="N52" i="19"/>
  <c r="N37" i="19"/>
  <c r="N13" i="19"/>
  <c r="N35" i="19"/>
  <c r="N26" i="19"/>
  <c r="N64" i="19"/>
  <c r="N65" i="19" s="1"/>
  <c r="O13" i="16" s="1"/>
  <c r="N51" i="19"/>
  <c r="N36" i="19"/>
  <c r="N27" i="19"/>
  <c r="N21" i="19"/>
  <c r="J14" i="19"/>
  <c r="K8" i="16" s="1"/>
  <c r="K10" i="19"/>
  <c r="C14" i="34"/>
  <c r="N33" i="19"/>
  <c r="N11" i="19"/>
  <c r="N20" i="19"/>
  <c r="K60" i="19"/>
  <c r="K63" i="19" s="1"/>
  <c r="L12" i="16" s="1"/>
  <c r="J63" i="19"/>
  <c r="J39" i="19"/>
  <c r="J50" i="19" s="1"/>
  <c r="J57" i="19" s="1"/>
  <c r="K18" i="19"/>
  <c r="K39" i="19" s="1"/>
  <c r="K50" i="19" s="1"/>
  <c r="K57" i="19" s="1"/>
  <c r="N30" i="19"/>
  <c r="N24" i="19"/>
  <c r="J14" i="34"/>
  <c r="N38" i="19"/>
  <c r="N31" i="19"/>
  <c r="N25" i="19"/>
  <c r="N60" i="19"/>
  <c r="N63" i="19" s="1"/>
  <c r="O12" i="16" s="1"/>
  <c r="N53" i="19"/>
  <c r="N34" i="19"/>
  <c r="N29" i="19"/>
  <c r="N23" i="19"/>
  <c r="N18" i="19"/>
  <c r="G19" i="4"/>
  <c r="G22" i="11"/>
  <c r="D10" i="34"/>
  <c r="F10" i="34" s="1"/>
  <c r="D115" i="20"/>
  <c r="C25" i="15" s="1"/>
  <c r="J20" i="11"/>
  <c r="H22" i="11"/>
  <c r="F66" i="24"/>
  <c r="E12" i="25" s="1"/>
  <c r="E35" i="25"/>
  <c r="K35" i="25" s="1"/>
  <c r="C18" i="15"/>
  <c r="K18" i="15" s="1"/>
  <c r="E25" i="2"/>
  <c r="E31" i="2" s="1"/>
  <c r="E33" i="2" s="1"/>
  <c r="C32" i="2" s="1"/>
  <c r="C25" i="2"/>
  <c r="C31" i="2" s="1"/>
  <c r="E33" i="15"/>
  <c r="L33" i="15" s="1"/>
  <c r="D30" i="24"/>
  <c r="D18" i="26" s="1"/>
  <c r="J18" i="26" s="1"/>
  <c r="D45" i="24"/>
  <c r="D28" i="26" s="1"/>
  <c r="J28" i="26" s="1"/>
  <c r="C19" i="25"/>
  <c r="J19" i="25" s="1"/>
  <c r="E18" i="15"/>
  <c r="L18" i="15" s="1"/>
  <c r="E34" i="21"/>
  <c r="B5" i="10"/>
  <c r="C8" i="10" s="1"/>
  <c r="F12" i="3" l="1"/>
  <c r="E13" i="1" s="1"/>
  <c r="E22" i="1" s="1"/>
  <c r="F14" i="16"/>
  <c r="K11" i="34"/>
  <c r="L11" i="34" s="1"/>
  <c r="O11" i="34" s="1"/>
  <c r="K12" i="16"/>
  <c r="K12" i="34" s="1"/>
  <c r="L12" i="34" s="1"/>
  <c r="O12" i="34" s="1"/>
  <c r="L10" i="16"/>
  <c r="J67" i="19"/>
  <c r="D120" i="3" s="1"/>
  <c r="K10" i="16"/>
  <c r="K14" i="16" s="1"/>
  <c r="N14" i="34"/>
  <c r="K13" i="34"/>
  <c r="L13" i="34" s="1"/>
  <c r="O13" i="34" s="1"/>
  <c r="C33" i="15"/>
  <c r="K33" i="15" s="1"/>
  <c r="K25" i="15"/>
  <c r="E19" i="25"/>
  <c r="K19" i="25" s="1"/>
  <c r="K12" i="25"/>
  <c r="N14" i="19"/>
  <c r="O8" i="16" s="1"/>
  <c r="N39" i="19"/>
  <c r="N50" i="19" s="1"/>
  <c r="N57" i="19" s="1"/>
  <c r="K8" i="34"/>
  <c r="L8" i="34" s="1"/>
  <c r="O8" i="34" s="1"/>
  <c r="K14" i="19"/>
  <c r="L8" i="16" s="1"/>
  <c r="D14" i="34"/>
  <c r="F14" i="34" s="1"/>
  <c r="F30" i="3"/>
  <c r="E26" i="1" s="1"/>
  <c r="F13" i="3"/>
  <c r="J22" i="11"/>
  <c r="C21" i="13" s="1"/>
  <c r="C23" i="13" s="1"/>
  <c r="C25" i="13" s="1"/>
  <c r="B47" i="13" s="1"/>
  <c r="B50" i="13" s="1"/>
  <c r="B52" i="13" s="1"/>
  <c r="K20" i="11"/>
  <c r="K22" i="11" s="1"/>
  <c r="C33" i="2"/>
  <c r="E35" i="15"/>
  <c r="C35" i="15" l="1"/>
  <c r="L14" i="16"/>
  <c r="K10" i="34"/>
  <c r="L10" i="34" s="1"/>
  <c r="O10" i="34" s="1"/>
  <c r="K67" i="19"/>
  <c r="N67" i="19"/>
  <c r="O10" i="16"/>
  <c r="O14" i="16" s="1"/>
  <c r="D12" i="20"/>
  <c r="D13" i="20" s="1"/>
  <c r="D13" i="22" s="1"/>
  <c r="K35" i="15"/>
  <c r="F12" i="20"/>
  <c r="F13" i="24" s="1"/>
  <c r="F14" i="24" s="1"/>
  <c r="E12" i="26" s="1"/>
  <c r="E20" i="26" s="1"/>
  <c r="L35" i="15"/>
  <c r="E37" i="25"/>
  <c r="D122" i="3"/>
  <c r="C30" i="21" s="1"/>
  <c r="D121" i="24"/>
  <c r="D123" i="24" s="1"/>
  <c r="C33" i="25" s="1"/>
  <c r="J33" i="25" s="1"/>
  <c r="F13" i="20"/>
  <c r="E34" i="1"/>
  <c r="F32" i="3"/>
  <c r="D30" i="3"/>
  <c r="D32" i="20"/>
  <c r="D25" i="22" s="1"/>
  <c r="B14" i="12"/>
  <c r="B16" i="12" s="1"/>
  <c r="D6" i="12" s="1"/>
  <c r="B10" i="10"/>
  <c r="C12" i="10" s="1"/>
  <c r="B13" i="10" s="1"/>
  <c r="C16" i="10" s="1"/>
  <c r="C18" i="10" s="1"/>
  <c r="C21" i="10" s="1"/>
  <c r="E13" i="22"/>
  <c r="D103" i="24" l="1"/>
  <c r="C27" i="25" s="1"/>
  <c r="J27" i="25" s="1"/>
  <c r="K14" i="34"/>
  <c r="L14" i="34" s="1"/>
  <c r="O14" i="34" s="1"/>
  <c r="D21" i="22"/>
  <c r="L14" i="22"/>
  <c r="D33" i="22"/>
  <c r="L35" i="22" s="1"/>
  <c r="L27" i="22"/>
  <c r="K12" i="26"/>
  <c r="K20" i="26"/>
  <c r="E21" i="22"/>
  <c r="M23" i="22" s="1"/>
  <c r="M14" i="22"/>
  <c r="C35" i="25"/>
  <c r="J35" i="25" s="1"/>
  <c r="D101" i="3"/>
  <c r="F32" i="24"/>
  <c r="F34" i="24" s="1"/>
  <c r="E24" i="26" s="1"/>
  <c r="D9" i="12"/>
  <c r="C6" i="12"/>
  <c r="C9" i="12" s="1"/>
  <c r="H23" i="22" l="1"/>
  <c r="L23" i="22"/>
  <c r="E32" i="26"/>
  <c r="K24" i="26"/>
  <c r="C37" i="25"/>
  <c r="D13" i="24" s="1"/>
  <c r="C24" i="21"/>
  <c r="C32" i="21" s="1"/>
  <c r="C34" i="21" s="1"/>
  <c r="D14" i="24" l="1"/>
  <c r="D12" i="26" s="1"/>
  <c r="D20" i="26" s="1"/>
  <c r="D12" i="3"/>
  <c r="D13" i="3" s="1"/>
  <c r="D22" i="1" s="1"/>
  <c r="J21" i="1" s="1"/>
  <c r="D32" i="3"/>
  <c r="D26" i="1" s="1"/>
  <c r="D32" i="24"/>
  <c r="D34" i="24" s="1"/>
  <c r="D24" i="26" s="1"/>
  <c r="J24" i="26" s="1"/>
  <c r="D37" i="3"/>
  <c r="D28" i="1" s="1"/>
  <c r="D36" i="24"/>
  <c r="D39" i="24" s="1"/>
  <c r="D26" i="26" s="1"/>
  <c r="J26" i="26" s="1"/>
  <c r="J20" i="26" l="1"/>
  <c r="J12" i="26"/>
  <c r="D34" i="1"/>
  <c r="D32" i="26"/>
  <c r="C44" i="6"/>
  <c r="F35" i="6"/>
  <c r="F27" i="6"/>
  <c r="D35" i="6"/>
  <c r="D27" i="6"/>
  <c r="E44" i="6"/>
  <c r="E35" i="6"/>
  <c r="C35" i="6"/>
  <c r="E27" i="6"/>
  <c r="D44" i="6"/>
  <c r="C27" i="6"/>
  <c r="F44" i="6"/>
</calcChain>
</file>

<file path=xl/sharedStrings.xml><?xml version="1.0" encoding="utf-8"?>
<sst xmlns="http://schemas.openxmlformats.org/spreadsheetml/2006/main" count="1486" uniqueCount="691">
  <si>
    <t xml:space="preserve"> </t>
  </si>
  <si>
    <t>Schedule</t>
  </si>
  <si>
    <t>As at</t>
  </si>
  <si>
    <t>31.03.2005</t>
  </si>
  <si>
    <t>SOURCES OF FUNDS</t>
  </si>
  <si>
    <t>APPLICATION OF FUNDS</t>
  </si>
  <si>
    <t>Deferred Tax Asset</t>
  </si>
  <si>
    <t>Vide our Report of even date</t>
  </si>
  <si>
    <t>INCOME</t>
  </si>
  <si>
    <t>EXPENDITURE</t>
  </si>
  <si>
    <t>Depreciation</t>
  </si>
  <si>
    <t>Balance transferred to Balance Sheet</t>
  </si>
  <si>
    <t>G.Ramesh</t>
  </si>
  <si>
    <t>Director</t>
  </si>
  <si>
    <t>For the year</t>
  </si>
  <si>
    <t>Ended</t>
  </si>
  <si>
    <t>Super Nitrifies</t>
  </si>
  <si>
    <t>Electricity Charges</t>
  </si>
  <si>
    <t>Postage, telegram &amp; telephones</t>
  </si>
  <si>
    <t>Advertisements</t>
  </si>
  <si>
    <t>Auditors Remuneration</t>
  </si>
  <si>
    <t>Conveyance &amp; travelling</t>
  </si>
  <si>
    <t>Vehicle maintenance</t>
  </si>
  <si>
    <t>Miscellaneous Expenses</t>
  </si>
  <si>
    <t>Bank Charges</t>
  </si>
  <si>
    <t>Gram organics(P) Limited</t>
  </si>
  <si>
    <t>(Amounts in Rs)</t>
  </si>
  <si>
    <t>GROSS BLOCK</t>
  </si>
  <si>
    <t>DEPRECIATION</t>
  </si>
  <si>
    <t>NET BLOCK</t>
  </si>
  <si>
    <t>Name of the Asset</t>
  </si>
  <si>
    <t>Additions</t>
  </si>
  <si>
    <t>Adjustments</t>
  </si>
  <si>
    <t>Upto</t>
  </si>
  <si>
    <t>For the</t>
  </si>
  <si>
    <t>Total Up to</t>
  </si>
  <si>
    <t>Period</t>
  </si>
  <si>
    <t>LAND</t>
  </si>
  <si>
    <t>BUILDINGS</t>
  </si>
  <si>
    <t>PLANT &amp; MACHINERY</t>
  </si>
  <si>
    <t>LAB-EQUIPMENTS</t>
  </si>
  <si>
    <t>VEHICLES</t>
  </si>
  <si>
    <t>PREVIOUS YEAR</t>
  </si>
  <si>
    <t>SCHEDULE  5  -FIXED ASSETS</t>
  </si>
  <si>
    <t>31.03.2006</t>
  </si>
  <si>
    <t>G.Sandeep</t>
  </si>
  <si>
    <t>Staff welfare</t>
  </si>
  <si>
    <t>31.03.05</t>
  </si>
  <si>
    <t>Loss on Sale of Vehicle</t>
  </si>
  <si>
    <t>STATEMENT OF FINISHED GOODS PARTICULARS FOR THE YEAR 2005-2006</t>
  </si>
  <si>
    <t>NAME OF THE PRODUCT</t>
  </si>
  <si>
    <t>OPENING</t>
  </si>
  <si>
    <t>PRODUCTION</t>
  </si>
  <si>
    <t>SALES</t>
  </si>
  <si>
    <t>TOTAL</t>
  </si>
  <si>
    <t>CLOSING</t>
  </si>
  <si>
    <t xml:space="preserve">RATE </t>
  </si>
  <si>
    <t>AMOUNT</t>
  </si>
  <si>
    <t>BALANCE</t>
  </si>
  <si>
    <t>RETURNS</t>
  </si>
  <si>
    <t>STOCK</t>
  </si>
  <si>
    <t>PER M.T</t>
  </si>
  <si>
    <t>SUPER BUGS IN MTS</t>
  </si>
  <si>
    <t>SUPER GUTS IN MTS</t>
  </si>
  <si>
    <t>SUPER GEMS IN MTS</t>
  </si>
  <si>
    <t>SUPER NITIFIES IN MTS</t>
  </si>
  <si>
    <t>CONSUMPTION OF RAW MATERIALS</t>
  </si>
  <si>
    <t>NAME OF THE MATERIALS</t>
  </si>
  <si>
    <t>PURCHASE</t>
  </si>
  <si>
    <t>CONSUMPTION</t>
  </si>
  <si>
    <t>RAW MATERIALS</t>
  </si>
  <si>
    <t>PACKING MATERIALS &amp;</t>
  </si>
  <si>
    <t>CONSUMABLES</t>
  </si>
  <si>
    <t>CLOSING STOCK AS ON 31.03.06</t>
  </si>
  <si>
    <t>PACKING MATERIALS</t>
  </si>
  <si>
    <t>QTY</t>
  </si>
  <si>
    <t>RATE</t>
  </si>
  <si>
    <t>PACKING COVERS</t>
  </si>
  <si>
    <t>C.C. BOXES</t>
  </si>
  <si>
    <t>PROWEP</t>
  </si>
  <si>
    <t>LIGNITE</t>
  </si>
  <si>
    <t>FINISHED GOODS</t>
  </si>
  <si>
    <t>SUPER GEMS IN TS</t>
  </si>
  <si>
    <t>SUPER NITIFIES</t>
  </si>
  <si>
    <t xml:space="preserve"> Audit Fee</t>
  </si>
  <si>
    <t>2005-06</t>
  </si>
  <si>
    <t>2004-05</t>
  </si>
  <si>
    <t>For statutory Audit</t>
  </si>
  <si>
    <t xml:space="preserve">Additional information pursuant to the provisins of paragraph 3,4C of the part II Schedule IV </t>
  </si>
  <si>
    <t>of the Companies Act, 1956</t>
  </si>
  <si>
    <t xml:space="preserve">(1) Class of goods manufactured </t>
  </si>
  <si>
    <t>a) Bacterial Culture</t>
  </si>
  <si>
    <t xml:space="preserve">Capacities Class of goods </t>
  </si>
  <si>
    <t>Units</t>
  </si>
  <si>
    <t>Licenced</t>
  </si>
  <si>
    <t>Installed</t>
  </si>
  <si>
    <t>M.ts</t>
  </si>
  <si>
    <t>N.A</t>
  </si>
  <si>
    <t>100Mts</t>
  </si>
  <si>
    <t>Production class of goods:</t>
  </si>
  <si>
    <t>Super Bugs in mts</t>
  </si>
  <si>
    <t>Super Guts in mts</t>
  </si>
  <si>
    <t>Super Gems in mts</t>
  </si>
  <si>
    <t>A)Opening stock</t>
  </si>
  <si>
    <t>Qty</t>
  </si>
  <si>
    <t>Amount  in Rs</t>
  </si>
  <si>
    <t>B)Fineshed Goods</t>
  </si>
  <si>
    <t>C)Sales:</t>
  </si>
  <si>
    <t>Amount</t>
  </si>
  <si>
    <t>CONSUMPTION OF RAW MATERIALS &amp; STORES</t>
  </si>
  <si>
    <t>Amount in Rs</t>
  </si>
  <si>
    <t>Lignite in kgs</t>
  </si>
  <si>
    <t>Mica Powder in kgs</t>
  </si>
  <si>
    <t>Prowep in kgs</t>
  </si>
  <si>
    <t>Packing Materials</t>
  </si>
  <si>
    <t>----</t>
  </si>
  <si>
    <t>Chemicals</t>
  </si>
  <si>
    <t>VALUE OF IMPORTED &amp; INDIGENOUS</t>
  </si>
  <si>
    <t>RAW-MATERIALS&amp; STORES CONSUMED</t>
  </si>
  <si>
    <t>%</t>
  </si>
  <si>
    <t>2004-2005</t>
  </si>
  <si>
    <t>Raw-Materials</t>
  </si>
  <si>
    <t>Imported</t>
  </si>
  <si>
    <t>Indigenous</t>
  </si>
  <si>
    <t>Stores</t>
  </si>
  <si>
    <t>Expenditure in foreign currency</t>
  </si>
  <si>
    <t>Rs</t>
  </si>
  <si>
    <t>Nil</t>
  </si>
  <si>
    <t>Earnings in foreign currency</t>
  </si>
  <si>
    <t xml:space="preserve">J. NARASIMHA RAO </t>
  </si>
  <si>
    <r>
      <t>Partner</t>
    </r>
    <r>
      <rPr>
        <sz val="11"/>
        <color indexed="8"/>
        <rFont val="Times New Roman"/>
        <family val="1"/>
      </rPr>
      <t xml:space="preserve"> </t>
    </r>
  </si>
  <si>
    <t>Place: Hyderabad</t>
  </si>
  <si>
    <t>GRAM ORGANICS (P) LIMITED</t>
  </si>
  <si>
    <t>LIST OF SHARE HOLDERS  AS ON 30.9.2004</t>
  </si>
  <si>
    <t>SL.NO</t>
  </si>
  <si>
    <t>NAME OF THE PERSON</t>
  </si>
  <si>
    <t xml:space="preserve">NO OF </t>
  </si>
  <si>
    <t>CAPITAL</t>
  </si>
  <si>
    <t>SHARES</t>
  </si>
  <si>
    <t>OF HOLDING</t>
  </si>
  <si>
    <t>G.RAMESH</t>
  </si>
  <si>
    <t>G.BHARAT</t>
  </si>
  <si>
    <t>G.SIDDARTHA</t>
  </si>
  <si>
    <t>G.VARALAXMI</t>
  </si>
  <si>
    <t>G.SAVITRI</t>
  </si>
  <si>
    <t>I.DILIP</t>
  </si>
  <si>
    <t>I.RADHA</t>
  </si>
  <si>
    <t>G.SATISH</t>
  </si>
  <si>
    <t>Gram Organics pvt Ltd</t>
  </si>
  <si>
    <t>SUNDRY DEBTORS AS ON 31.03.2006</t>
  </si>
  <si>
    <t>SL</t>
  </si>
  <si>
    <t>NAME OF THE DEBTOR</t>
  </si>
  <si>
    <t>Above 180Days</t>
  </si>
  <si>
    <t>Below 180Days</t>
  </si>
  <si>
    <t>A.Ravi Varma</t>
  </si>
  <si>
    <t>Ch.Krishnam Raju</t>
  </si>
  <si>
    <t>Ch.Ramabhadra Raju</t>
  </si>
  <si>
    <t>G.Ramana</t>
  </si>
  <si>
    <t>HariKrishna Seeds and Medicals</t>
  </si>
  <si>
    <t>Jai Makali &amp; Pulp</t>
  </si>
  <si>
    <t>J.Sita rama raju</t>
  </si>
  <si>
    <t>J.V.R.Aqua Needs</t>
  </si>
  <si>
    <t>KanakaDurga Sishiries</t>
  </si>
  <si>
    <t>K.Prabhakar reddy</t>
  </si>
  <si>
    <t>K.Ranga raju</t>
  </si>
  <si>
    <t>K.Samba Siva rao</t>
  </si>
  <si>
    <t>K.S.N.Raju</t>
  </si>
  <si>
    <t>K.S.Raju</t>
  </si>
  <si>
    <t>K.Subba raju</t>
  </si>
  <si>
    <t>K.Tirupati Rao</t>
  </si>
  <si>
    <t>Lakshmi Enterprises</t>
  </si>
  <si>
    <t>L.S.R.Forms</t>
  </si>
  <si>
    <t>M.S.Raju</t>
  </si>
  <si>
    <t>M.Subrahmanyam</t>
  </si>
  <si>
    <t>M.Suryanarayana Raju</t>
  </si>
  <si>
    <t>New Ayyappa Agencies</t>
  </si>
  <si>
    <t>N.Raghu rama raju</t>
  </si>
  <si>
    <t>P.Narayana Rao</t>
  </si>
  <si>
    <t>Pragati Fisheries</t>
  </si>
  <si>
    <t>Raghu</t>
  </si>
  <si>
    <t>Ratnakar</t>
  </si>
  <si>
    <t>R.Ravi Raju</t>
  </si>
  <si>
    <t>Sai Krishnam raju</t>
  </si>
  <si>
    <t>Siri AquaformsAnd Export Pvt.ltd</t>
  </si>
  <si>
    <t>S.Narasimha Rao</t>
  </si>
  <si>
    <t>S.suryanarayana raju</t>
  </si>
  <si>
    <t>Sree rama enterprises</t>
  </si>
  <si>
    <t>Sri Valli Agro tech</t>
  </si>
  <si>
    <t>Sri Dara Devi Aqua seeds</t>
  </si>
  <si>
    <t>Sri Hari priya Fish forms P ltd</t>
  </si>
  <si>
    <t>Sri Laxmi Agencies</t>
  </si>
  <si>
    <t>Srikanth</t>
  </si>
  <si>
    <t>Sri Rama Enterprises</t>
  </si>
  <si>
    <t>Sri Sai Shymala Subarahmanyam Fish</t>
  </si>
  <si>
    <t>S.S.Aqua Needs &amp; General</t>
  </si>
  <si>
    <t>T.Murthy Raju</t>
  </si>
  <si>
    <t>S.Sudheer</t>
  </si>
  <si>
    <t>Varma</t>
  </si>
  <si>
    <t>U.B.K.Agro Forms</t>
  </si>
  <si>
    <t>U.B.K.Exim</t>
  </si>
  <si>
    <t>U.B.K.Hotels and Resorts</t>
  </si>
  <si>
    <t>U.B.K. Impex (P) ltd</t>
  </si>
  <si>
    <t>Usha bala Agro Forms</t>
  </si>
  <si>
    <t>V.Kishore</t>
  </si>
  <si>
    <t>Gram Organics (p) Ltd</t>
  </si>
  <si>
    <t>Fixed Assets For the Year 2005-2006</t>
  </si>
  <si>
    <t>DATE &amp;PATICULARS</t>
  </si>
  <si>
    <t>DATE PUT TO USE</t>
  </si>
  <si>
    <t>RATE OF DEPRECITION</t>
  </si>
  <si>
    <t>NUMBER OF DAYS</t>
  </si>
  <si>
    <t>DEPRECIATION AMOUNT</t>
  </si>
  <si>
    <t>NET ASSET VALUE</t>
  </si>
  <si>
    <t>PLANT AND MACHINERY</t>
  </si>
  <si>
    <t>Opening as on 01.4.01</t>
  </si>
  <si>
    <t>Add: Captilised Iteams</t>
  </si>
  <si>
    <t>Less: Sale on 31.08.02</t>
  </si>
  <si>
    <t>(Ideal)</t>
  </si>
  <si>
    <t>opening</t>
  </si>
  <si>
    <t>Ideal Assests</t>
  </si>
  <si>
    <t>LAB EQUIPMENT</t>
  </si>
  <si>
    <t>VEHICLES:</t>
  </si>
  <si>
    <t>Total Depreciation for the Year :</t>
  </si>
  <si>
    <t>NET BLOCK AS PER BOOKS</t>
  </si>
  <si>
    <t>LESS : NON DEPRECIBLE ASSETS(LAND)</t>
  </si>
  <si>
    <t xml:space="preserve">NET BLOCK AS PER INCOME TAX </t>
  </si>
  <si>
    <t>LESS : NON DEPRECIBLE ASSETS</t>
  </si>
  <si>
    <t>TIMMING DIFFARANCE</t>
  </si>
  <si>
    <t>DEFFERRED TAX ASSET 33.66%</t>
  </si>
  <si>
    <t>DEFERRED TAX ASSET AS AT 31.03.05</t>
  </si>
  <si>
    <t>DEFERRED TAX CALUCLATION FOR THE YEAR 2005-2006</t>
  </si>
  <si>
    <t>Annexure-I</t>
  </si>
  <si>
    <t>DEPRECIATION ALLOWABLE AS PER INCOME TAX</t>
  </si>
  <si>
    <t>NAME OF THE ASSET</t>
  </si>
  <si>
    <t>RATE OF</t>
  </si>
  <si>
    <t>WDV AS ON</t>
  </si>
  <si>
    <t>01.04.05</t>
  </si>
  <si>
    <t xml:space="preserve">ADDITIONS </t>
  </si>
  <si>
    <t>BEFORE</t>
  </si>
  <si>
    <t>30.9.2005</t>
  </si>
  <si>
    <t>AFTER</t>
  </si>
  <si>
    <t>DELETIONS</t>
  </si>
  <si>
    <t xml:space="preserve">DEPRECIATION </t>
  </si>
  <si>
    <t xml:space="preserve"> DEPRECIATION</t>
  </si>
  <si>
    <t xml:space="preserve"> 31.03.2006</t>
  </si>
  <si>
    <t>(1+2+3-4)</t>
  </si>
  <si>
    <t xml:space="preserve">ON </t>
  </si>
  <si>
    <t>(1+2)</t>
  </si>
  <si>
    <t>(6+7)</t>
  </si>
  <si>
    <t>(5-8)</t>
  </si>
  <si>
    <t xml:space="preserve">Buildings </t>
  </si>
  <si>
    <t>Plant and Machinery</t>
  </si>
  <si>
    <t>Lab-Equipments</t>
  </si>
  <si>
    <t>Vehicles</t>
  </si>
  <si>
    <t>Total</t>
  </si>
  <si>
    <t>Disallowance under the income tax act</t>
  </si>
  <si>
    <t>Provision for Gratutity</t>
  </si>
  <si>
    <t>DEFERRED TAX CALCULATIONS</t>
  </si>
  <si>
    <t>Deffered Tax Liability</t>
  </si>
  <si>
    <t>01-04-2005</t>
  </si>
  <si>
    <t>Charge/(Credit)</t>
  </si>
  <si>
    <t>a) Difference in Depreciation</t>
  </si>
  <si>
    <t>a) Other Provisions under section 43B</t>
  </si>
  <si>
    <t>Opening</t>
  </si>
  <si>
    <t>WDV as per Companies Act</t>
  </si>
  <si>
    <t>WDV as per Income Tax Act</t>
  </si>
  <si>
    <t>Difference in Depreciation</t>
  </si>
  <si>
    <t>Closing</t>
  </si>
  <si>
    <t>Rate of Tax</t>
  </si>
  <si>
    <t>ASSESSMENT YEAR</t>
  </si>
  <si>
    <t>BUSINESS LOSS</t>
  </si>
  <si>
    <t>Loss as per Income tax computation:</t>
  </si>
  <si>
    <t>(INCLUDING DEPRECIATION LOSS)</t>
  </si>
  <si>
    <t>2002-2003</t>
  </si>
  <si>
    <t>2003-2004              (8561522-2500000)</t>
  </si>
  <si>
    <t>2005-2006</t>
  </si>
  <si>
    <t>a) Provision for Gratuity</t>
  </si>
  <si>
    <t>Fringe Benefit Tax</t>
  </si>
  <si>
    <t>Inadmisble expenses</t>
  </si>
  <si>
    <t>Copmutation of Total Income</t>
  </si>
  <si>
    <t>Income From Business or Profession</t>
  </si>
  <si>
    <t>Profit as per the Profit and Loss A/c</t>
  </si>
  <si>
    <t>Add:</t>
  </si>
  <si>
    <t>Inadmisble Expenses</t>
  </si>
  <si>
    <t>Loss On sale of Capital Asset</t>
  </si>
  <si>
    <t>Depreciation as Per the Cmpanies Act</t>
  </si>
  <si>
    <t>Less:</t>
  </si>
  <si>
    <t>Admisable Expenses</t>
  </si>
  <si>
    <t>Depreciation as per the Inome Tax Act</t>
  </si>
  <si>
    <t>Total Income</t>
  </si>
  <si>
    <t>Tax on Total Income</t>
  </si>
  <si>
    <t>Income from Capital Gains</t>
  </si>
  <si>
    <t>Loss on sale of Capital Asset</t>
  </si>
  <si>
    <t>Long Term Capital Loss</t>
  </si>
  <si>
    <t>Gramorganics Private Limited</t>
  </si>
  <si>
    <t>Calculation of Fringe Benefit Tax</t>
  </si>
  <si>
    <t>Interest on Vehicle Loan</t>
  </si>
  <si>
    <t>Qualifing Value</t>
  </si>
  <si>
    <t>FBT</t>
  </si>
  <si>
    <t>Provision For Income Tax</t>
  </si>
  <si>
    <t>Income Tax</t>
  </si>
  <si>
    <t>Gross Qualifing Amount</t>
  </si>
  <si>
    <t>Povision for Income Tax</t>
  </si>
  <si>
    <t xml:space="preserve">Interst on </t>
  </si>
  <si>
    <t>ANNEXURE  TO3CD</t>
  </si>
  <si>
    <t>SL.NO.</t>
  </si>
  <si>
    <t>Name and address of the</t>
  </si>
  <si>
    <t>P.A.N.</t>
  </si>
  <si>
    <t>Amount of</t>
  </si>
  <si>
    <t>Whether loan/</t>
  </si>
  <si>
    <t>Maximum</t>
  </si>
  <si>
    <t>Whether the loan</t>
  </si>
  <si>
    <t>lender/depositer</t>
  </si>
  <si>
    <t>No.</t>
  </si>
  <si>
    <t>loan or</t>
  </si>
  <si>
    <t>deposit a/c was</t>
  </si>
  <si>
    <t>amount out</t>
  </si>
  <si>
    <t>deposit</t>
  </si>
  <si>
    <t>squared up</t>
  </si>
  <si>
    <t>standing the</t>
  </si>
  <si>
    <t>taken or</t>
  </si>
  <si>
    <t>during the year</t>
  </si>
  <si>
    <t>account any</t>
  </si>
  <si>
    <t>than by an account</t>
  </si>
  <si>
    <t>accepted</t>
  </si>
  <si>
    <t>time during</t>
  </si>
  <si>
    <t>cheque or an account</t>
  </si>
  <si>
    <t>the previous</t>
  </si>
  <si>
    <t>payee bank draft</t>
  </si>
  <si>
    <t>year</t>
  </si>
  <si>
    <t>Container Recycling Corporation</t>
  </si>
  <si>
    <t>ARL PS  1980 K</t>
  </si>
  <si>
    <t>No</t>
  </si>
  <si>
    <t>Plot No. 190,H.No. 11-224</t>
  </si>
  <si>
    <t>Venkateswara Nagar,</t>
  </si>
  <si>
    <t>Moulali Housing Board ,</t>
  </si>
  <si>
    <t>Hyderabad.</t>
  </si>
  <si>
    <t>Mahalakshmi Securities holding Ltd</t>
  </si>
  <si>
    <t>AAA CM 5830 F</t>
  </si>
  <si>
    <t>101,Guru Darshan,</t>
  </si>
  <si>
    <t>Above Global Trust Bank,N.S.Road 1</t>
  </si>
  <si>
    <t>J.V.P.D.Scheme,</t>
  </si>
  <si>
    <t>Near Bhaidas hall ,Vile Parle (West),</t>
  </si>
  <si>
    <t>Mumbai-400056</t>
  </si>
  <si>
    <t>K.Anjutha Rao</t>
  </si>
  <si>
    <t>AAB HK 9874 P</t>
  </si>
  <si>
    <t>6-1-103/17,Padma Rao Nagar</t>
  </si>
  <si>
    <t>Secunderabad</t>
  </si>
  <si>
    <t>Yes</t>
  </si>
  <si>
    <t>Date</t>
  </si>
  <si>
    <t xml:space="preserve"> Ch/P.o No</t>
  </si>
  <si>
    <t xml:space="preserve">PARTICULARS OF EACH REPAYMENT OF LOAN OR DEPOSIT IN AN AMOUNT </t>
  </si>
  <si>
    <t xml:space="preserve">EXCEEDING THE LIMIT SPECIFIED IN SECTION 269 T MADE DURING THE </t>
  </si>
  <si>
    <t>Maximum amount</t>
  </si>
  <si>
    <t>Whether the</t>
  </si>
  <si>
    <t>Remarks</t>
  </si>
  <si>
    <t>the repayment</t>
  </si>
  <si>
    <t>out standing in the</t>
  </si>
  <si>
    <t xml:space="preserve">repayment </t>
  </si>
  <si>
    <t>account any time</t>
  </si>
  <si>
    <t>was made</t>
  </si>
  <si>
    <t>during the previous</t>
  </si>
  <si>
    <t>other wise</t>
  </si>
  <si>
    <t>Year</t>
  </si>
  <si>
    <t>than by account</t>
  </si>
  <si>
    <t>payee cheque</t>
  </si>
  <si>
    <t>or account</t>
  </si>
  <si>
    <t xml:space="preserve">payee bank </t>
  </si>
  <si>
    <t>draft</t>
  </si>
  <si>
    <t>Liquors India Limited</t>
  </si>
  <si>
    <t>AAA CL 3279R</t>
  </si>
  <si>
    <t>509,5th Floor , Topaz Building,</t>
  </si>
  <si>
    <t>Panjagutta,Hyderabad-500082</t>
  </si>
  <si>
    <t>Applied Computer Services Limited</t>
  </si>
  <si>
    <t>AAB CB 2340 J</t>
  </si>
  <si>
    <t>606,6th Floor,Topaz Building ,</t>
  </si>
  <si>
    <t>Panjagutta ,Hyderabad.</t>
  </si>
  <si>
    <t>Detalis of Payments to Liquors India Limited</t>
  </si>
  <si>
    <t>10.04.04</t>
  </si>
  <si>
    <t>Ch..No.846815</t>
  </si>
  <si>
    <t>13.04.04</t>
  </si>
  <si>
    <t>Ch..No.846818</t>
  </si>
  <si>
    <t>14.05.04</t>
  </si>
  <si>
    <t>Ch..No.846834</t>
  </si>
  <si>
    <t>29.05.04</t>
  </si>
  <si>
    <t>Ch..No.846839</t>
  </si>
  <si>
    <t>16.06.04</t>
  </si>
  <si>
    <t>Ch..No.846845</t>
  </si>
  <si>
    <t>09.07.04</t>
  </si>
  <si>
    <t>Journal</t>
  </si>
  <si>
    <t>Insurance Claim  Received</t>
  </si>
  <si>
    <t>27.09.04</t>
  </si>
  <si>
    <t>D.D.No.019693</t>
  </si>
  <si>
    <t>24.03.05</t>
  </si>
  <si>
    <t>Ch..No.767527</t>
  </si>
  <si>
    <t>Ch..No.767530</t>
  </si>
  <si>
    <t>Adjusted In Rent Receivable</t>
  </si>
  <si>
    <t>Transfer to share Application</t>
  </si>
  <si>
    <t>Repaid</t>
  </si>
  <si>
    <t>accepted/Repayment otherwise</t>
  </si>
  <si>
    <t>or deposit was taken or</t>
  </si>
  <si>
    <t>A.Satya Prasad</t>
  </si>
  <si>
    <t>Kopalle Pharma Chemicals Pvt Ltd</t>
  </si>
  <si>
    <t>Date :02.09.2006</t>
  </si>
  <si>
    <t>PARTICULARS OF EACH LOAN/DEPOSIT  ACCEPTED / REPAID DURING THE PREVIOUS YEAR</t>
  </si>
  <si>
    <t>Shree Chem Pharma Pvt Ltd</t>
  </si>
  <si>
    <t>Hyderabad</t>
  </si>
  <si>
    <t>N. Srivisnu Raju</t>
  </si>
  <si>
    <t xml:space="preserve">Raw Materials </t>
  </si>
  <si>
    <t>Prowep</t>
  </si>
  <si>
    <t>Opening Stock</t>
  </si>
  <si>
    <t>lignite</t>
  </si>
  <si>
    <t>Purchases</t>
  </si>
  <si>
    <t>Consumpion</t>
  </si>
  <si>
    <t>Closing Sock</t>
  </si>
  <si>
    <t>ANNEXURE  II</t>
  </si>
  <si>
    <r>
      <t>for</t>
    </r>
    <r>
      <rPr>
        <b/>
        <sz val="12"/>
        <rFont val="Times New Roman"/>
        <family val="1"/>
      </rPr>
      <t xml:space="preserve"> Narasimha Rao &amp; Associates</t>
    </r>
  </si>
  <si>
    <t>Chartered Accountants</t>
  </si>
  <si>
    <t>On behalf of the Board</t>
  </si>
  <si>
    <t>J.Narasimha Rao</t>
  </si>
  <si>
    <t>Place: Visakhapatnam</t>
  </si>
  <si>
    <t>GRAMORGANICS PRIVATE LIMITED</t>
  </si>
  <si>
    <t>PROFIT AND LOSS ACCOUNT FOR THE YEAR ENDED 31st MARCH 2007</t>
  </si>
  <si>
    <t>PARTICULARS</t>
  </si>
  <si>
    <t>For the Year</t>
  </si>
  <si>
    <t>31.03.2007</t>
  </si>
  <si>
    <t>(Amount in Rupees)</t>
  </si>
  <si>
    <t xml:space="preserve">Sales </t>
  </si>
  <si>
    <t>Profit on Sale of Land</t>
  </si>
  <si>
    <t>Increase/(Decrease) in Stocks</t>
  </si>
  <si>
    <t>Material Consumed</t>
  </si>
  <si>
    <t>Manufacturing &amp; Administrative expenses</t>
  </si>
  <si>
    <t>Interest and Financial Charges</t>
  </si>
  <si>
    <t>Profit for the year</t>
  </si>
  <si>
    <t xml:space="preserve">Income Tax Adjustment </t>
  </si>
  <si>
    <t>Provision for Taxation</t>
  </si>
  <si>
    <t>Current Tax</t>
  </si>
  <si>
    <t>Deferred Tax</t>
  </si>
  <si>
    <t>Profit after Tax</t>
  </si>
  <si>
    <t>Brought forward from previous year</t>
  </si>
  <si>
    <t>Notes on Accounts</t>
  </si>
  <si>
    <t>Vide our report of even date</t>
  </si>
  <si>
    <r>
      <t>for</t>
    </r>
    <r>
      <rPr>
        <b/>
        <sz val="11"/>
        <rFont val="Arial"/>
        <family val="2"/>
      </rPr>
      <t xml:space="preserve"> Narasimha Rao &amp; Associates</t>
    </r>
  </si>
  <si>
    <t>Partner</t>
  </si>
  <si>
    <t>Hyderabad,</t>
  </si>
  <si>
    <t>03-09-2007.</t>
  </si>
  <si>
    <t>Tuition fee</t>
  </si>
  <si>
    <t xml:space="preserve">Academic Receipts </t>
  </si>
  <si>
    <t>Income from investments</t>
  </si>
  <si>
    <t>Other Income</t>
  </si>
  <si>
    <t>Other Academic fee</t>
  </si>
  <si>
    <t>Examination fee</t>
  </si>
  <si>
    <t>Staff Payments &amp; Benefits</t>
  </si>
  <si>
    <t>Academic Expenses</t>
  </si>
  <si>
    <t>Schedule 1: CAPITAL</t>
  </si>
  <si>
    <t>Grants Received</t>
  </si>
  <si>
    <t xml:space="preserve">Secured Loans </t>
  </si>
  <si>
    <t>Schedule 3: UN RESTRICTED FUNDS</t>
  </si>
  <si>
    <t>Schedule 4: LOANS/BORROWINGS</t>
  </si>
  <si>
    <t>Other Advances / Fee received in Advance</t>
  </si>
  <si>
    <t>Other Creditors</t>
  </si>
  <si>
    <t>Schedule 6 :  FIXED ASSETS</t>
  </si>
  <si>
    <t>Fixed Assets at cost less depreciation</t>
  </si>
  <si>
    <t>Deposits</t>
  </si>
  <si>
    <t>FDR with Schedule Banks</t>
  </si>
  <si>
    <t>Schedule 7 :  INVESTMENTS</t>
  </si>
  <si>
    <t>Other receivables / Tax deduction at source</t>
  </si>
  <si>
    <t>Prepaid Expenses</t>
  </si>
  <si>
    <t>Schedule 9 :  CURRENT ASSETS</t>
  </si>
  <si>
    <t>Cash on Hand</t>
  </si>
  <si>
    <t>Bank Balances</t>
  </si>
  <si>
    <t>UN RESTRICTED FUNDS</t>
  </si>
  <si>
    <t>LOANS/BORROWINGS</t>
  </si>
  <si>
    <t>CURRENT LIABILITIES &amp; PROVISIONS</t>
  </si>
  <si>
    <t>FIXED ASSETS</t>
  </si>
  <si>
    <t>INVESTMENTS</t>
  </si>
  <si>
    <t>CURRENT ASSETS</t>
  </si>
  <si>
    <t>Total (A)</t>
  </si>
  <si>
    <t>Total (B)</t>
  </si>
  <si>
    <t>Salaries</t>
  </si>
  <si>
    <t>PF/ESI Contribution</t>
  </si>
  <si>
    <t>Travel and conveyance</t>
  </si>
  <si>
    <t>Transport expenses</t>
  </si>
  <si>
    <t>Student welfare expenses</t>
  </si>
  <si>
    <t xml:space="preserve">Taxes, Licence Fees &amp; Insurance </t>
  </si>
  <si>
    <t>Examination Expenses</t>
  </si>
  <si>
    <t>Administrative &amp; General Expenses</t>
  </si>
  <si>
    <t>Inter Units</t>
  </si>
  <si>
    <t xml:space="preserve">Place:   Visakhapatanam </t>
  </si>
  <si>
    <t>Grand Total  Rs.</t>
  </si>
  <si>
    <t>15</t>
  </si>
  <si>
    <t>10</t>
  </si>
  <si>
    <t>FOR THE YEAR</t>
  </si>
  <si>
    <t>ADDITIONS</t>
  </si>
  <si>
    <t>S.NO</t>
  </si>
  <si>
    <t xml:space="preserve">Rs.          </t>
  </si>
  <si>
    <t xml:space="preserve">Rs.           </t>
  </si>
  <si>
    <t>Endowment Funds</t>
  </si>
  <si>
    <t>Schedule 17: Transportation Expenses</t>
  </si>
  <si>
    <t>Furniture</t>
  </si>
  <si>
    <t>Stabilizers</t>
  </si>
  <si>
    <t>Water Cooler</t>
  </si>
  <si>
    <t>Library Books</t>
  </si>
  <si>
    <t>Water Tank</t>
  </si>
  <si>
    <t>UPS Batteries</t>
  </si>
  <si>
    <t>B/F</t>
  </si>
  <si>
    <t>Computers</t>
  </si>
  <si>
    <t>SL.</t>
  </si>
  <si>
    <t>GROSS  BLOCK</t>
  </si>
  <si>
    <t>NO.</t>
  </si>
  <si>
    <t>AS ON</t>
  </si>
  <si>
    <t>ADDITIONS/</t>
  </si>
  <si>
    <t xml:space="preserve">AS ON </t>
  </si>
  <si>
    <t>Rs.      Ps.</t>
  </si>
  <si>
    <t>Rs.      Ps</t>
  </si>
  <si>
    <t>A.C Machines</t>
  </si>
  <si>
    <t>Electrical Equipment</t>
  </si>
  <si>
    <t>UPS Systems</t>
  </si>
  <si>
    <t>Pump set</t>
  </si>
  <si>
    <t>Water Filter (purifier)</t>
  </si>
  <si>
    <t>Computer lab Renovation</t>
  </si>
  <si>
    <t>EPBAX</t>
  </si>
  <si>
    <t>Projector</t>
  </si>
  <si>
    <t>Telephone Instruments</t>
  </si>
  <si>
    <t>Electronics Lab Equipment</t>
  </si>
  <si>
    <t>Xerox machine</t>
  </si>
  <si>
    <t>Audio Visual Equipment</t>
  </si>
  <si>
    <t>Bar Code Scanners</t>
  </si>
  <si>
    <t>Generator Set (125 KVA)</t>
  </si>
  <si>
    <t xml:space="preserve">C/F </t>
  </si>
  <si>
    <t xml:space="preserve">Furniture &amp; Upholstery </t>
  </si>
  <si>
    <t>Fans</t>
  </si>
  <si>
    <t>Collar Mikes</t>
  </si>
  <si>
    <t>Car No.AP31AT 2001</t>
  </si>
  <si>
    <t>Games &amp; Sports Equipment</t>
  </si>
  <si>
    <t>Internet Equipment</t>
  </si>
  <si>
    <t>Building at Rushikonda</t>
  </si>
  <si>
    <t>Language Lab Renovation</t>
  </si>
  <si>
    <t>Bore Well</t>
  </si>
  <si>
    <t xml:space="preserve">Roads and Culverts(P.G Rusikonda Campus) </t>
  </si>
  <si>
    <t>Bio Metric Attendance System</t>
  </si>
  <si>
    <t>Cell phone Instruments</t>
  </si>
  <si>
    <t>Fake Note Detector</t>
  </si>
  <si>
    <t>Sub-Total</t>
  </si>
  <si>
    <t xml:space="preserve"> Grand  Total      Rs.</t>
  </si>
  <si>
    <t>Prepaid Expenses / Interest Accrued but not due</t>
  </si>
  <si>
    <t xml:space="preserve">Taxes, Licence Fees </t>
  </si>
  <si>
    <t>For GVP College for Degree &amp; PG Courses (Autonomous)</t>
  </si>
  <si>
    <t xml:space="preserve">            Rs.           </t>
  </si>
  <si>
    <t xml:space="preserve">              Rs.    </t>
  </si>
  <si>
    <t xml:space="preserve">            Rs.       </t>
  </si>
  <si>
    <t xml:space="preserve">             Rs.          </t>
  </si>
  <si>
    <t xml:space="preserve">            Rs.   </t>
  </si>
  <si>
    <t xml:space="preserve"> vide our report of even date</t>
  </si>
  <si>
    <t>Interest &amp; Financial Charges</t>
  </si>
  <si>
    <t>Transportation Expenses</t>
  </si>
  <si>
    <t xml:space="preserve"> Capital</t>
  </si>
  <si>
    <t xml:space="preserve">           Rs.          </t>
  </si>
  <si>
    <t>GAYATRI VIDYA PARISHAD COLLEGE FOR DEGREE AND P.G.COURSES (AUTONOMOUS) : : VISAKHAPATNAM</t>
  </si>
  <si>
    <t>Continued...2</t>
  </si>
  <si>
    <t>GAYATRI VIDYA PARISHAD COLLEGE FOR DEGREE AND P.G.COURSES (AUTONOMOUS) VISAKHAPATNAM</t>
  </si>
  <si>
    <t>GAYATRI VIDYA PARISHAD COLLEGE FOR DEGREE AND P.G. COURESES (AUTONOMOUS) VISAKHAPATNAM</t>
  </si>
  <si>
    <t>SCHEDULES</t>
  </si>
  <si>
    <t>Capital</t>
  </si>
  <si>
    <t>Schedule 2: SURPLUS FOR THE YEAR</t>
  </si>
  <si>
    <t>Schedule 5: CURRENT LIABILITIES &amp; PROVISIONS</t>
  </si>
  <si>
    <t>Other Creditors / Sundry payables / Out Standing Scholarships</t>
  </si>
  <si>
    <t>Sundry Creditors</t>
  </si>
  <si>
    <t>FDRs with Schedule Banks</t>
  </si>
  <si>
    <t>Schedule 8 :  LOANS &amp; ADVANCES</t>
  </si>
  <si>
    <t>Advances Recoverable</t>
  </si>
  <si>
    <t xml:space="preserve">Schedule 10: ACADEMIC RECEIPTS </t>
  </si>
  <si>
    <t>Schedule 11: INCOME FROM INVESTMENTS</t>
  </si>
  <si>
    <t>Interest from Savings Bank &amp; FDRs</t>
  </si>
  <si>
    <t>Miscellaneous Income</t>
  </si>
  <si>
    <t>Schedule 12:  OTHER INCOME</t>
  </si>
  <si>
    <t xml:space="preserve">Schedule 13: STAFF PAYMENTS &amp; BENEFITS </t>
  </si>
  <si>
    <t>Honorarium</t>
  </si>
  <si>
    <t>Schedule 14: ACADEMIC EXPENSES</t>
  </si>
  <si>
    <t>Library Maintenance / Books and Periodicals</t>
  </si>
  <si>
    <t>Lab Maintenance</t>
  </si>
  <si>
    <t>Schedule 15: ADMINISTRATIVE &amp; GENERAL EXPENSES</t>
  </si>
  <si>
    <t>Repairs &amp; Maintenance</t>
  </si>
  <si>
    <t>Function expenses</t>
  </si>
  <si>
    <t>Internet Charges</t>
  </si>
  <si>
    <t>Postage &amp; Telephones</t>
  </si>
  <si>
    <t>Printing &amp; Stationery</t>
  </si>
  <si>
    <t>Research and Consultancy</t>
  </si>
  <si>
    <t>Schedule 16: INTEREST &amp; FINANCIAL CHARGES</t>
  </si>
  <si>
    <t>Schedule 17: TRANSPORTATION EXPENSES</t>
  </si>
  <si>
    <t>Note: Previous year figures have been regrouped wherever necessary</t>
  </si>
  <si>
    <t>LOANS &amp; ADVANCES</t>
  </si>
  <si>
    <t xml:space="preserve">Rs.        </t>
  </si>
  <si>
    <t xml:space="preserve">       Rs.           </t>
  </si>
  <si>
    <t>Fixed Assets at cost less Depreciation</t>
  </si>
  <si>
    <t>Schedule 4: LOANS / BORROWINGS</t>
  </si>
  <si>
    <t>Tuition Fee</t>
  </si>
  <si>
    <t>Examination Fee</t>
  </si>
  <si>
    <t>Other Academic Fee</t>
  </si>
  <si>
    <t>Schedule 13: STAFF PAYMENTS &amp; BENEFITS</t>
  </si>
  <si>
    <t>Student welfare Expenses</t>
  </si>
  <si>
    <t>Function Expenses</t>
  </si>
  <si>
    <t>Professional Expenses</t>
  </si>
  <si>
    <t xml:space="preserve">GAYATRI VIDYA PARISHAD COLLEGE FOR DEGREE AND PG COURSES  </t>
  </si>
  <si>
    <t xml:space="preserve">For GVP College for Degree &amp; PG Courses </t>
  </si>
  <si>
    <t>For GVP College for Degree &amp; PG Courses</t>
  </si>
  <si>
    <t>Income from Investments</t>
  </si>
  <si>
    <t>For the year Ended</t>
  </si>
  <si>
    <t>Schedule 10: ACADEMIC RECEIPTS</t>
  </si>
  <si>
    <t>Interest from Savings Banks &amp; FDRs</t>
  </si>
  <si>
    <t xml:space="preserve">Schedule 14: ACADEMIC EXPENSES </t>
  </si>
  <si>
    <t>Library Maintenance /Books and Periodicals</t>
  </si>
  <si>
    <t>Research and consultancy</t>
  </si>
  <si>
    <t>Bus - 1</t>
  </si>
  <si>
    <t>Bus - 2</t>
  </si>
  <si>
    <t>LOANS,  ADVANCES</t>
  </si>
  <si>
    <t>Prepaid Expenses/Interest accured but not due</t>
  </si>
  <si>
    <t>Faculty Development / Seminars &amp; workshop Expenses</t>
  </si>
  <si>
    <t xml:space="preserve">AICTE &amp; University Fee </t>
  </si>
  <si>
    <t xml:space="preserve">AICTE &amp; University fee </t>
  </si>
  <si>
    <t>Faculty Development / Seminars &amp; Workshops Expenses</t>
  </si>
  <si>
    <t xml:space="preserve">  PER OUR REPORT OF EVEN DATE ANNEXED</t>
  </si>
  <si>
    <t xml:space="preserve"> Secretary &amp; Correspondent</t>
  </si>
  <si>
    <t xml:space="preserve">   Treasurer</t>
  </si>
  <si>
    <t>Closed Circuit Cameras</t>
  </si>
  <si>
    <t>Research and Development Expenses</t>
  </si>
  <si>
    <t xml:space="preserve">GAYATRI VIDYA PARISHAD  COLLEGE FOR DEGREE &amp; PG COURSES  ( AUTONOMOUS ) : VISAKHAPATNAM </t>
  </si>
  <si>
    <t>M.C.A PROGRAMME</t>
  </si>
  <si>
    <t>MCA PROGRAMME</t>
  </si>
  <si>
    <t>M.B.A PROGRAMME</t>
  </si>
  <si>
    <t>MBA Programme</t>
  </si>
  <si>
    <t>CONSOLIDATED FOR MBA AND MCA PROGRAMMES</t>
  </si>
  <si>
    <t>Consolidated for MBA, MCA PROGRAMMES</t>
  </si>
  <si>
    <t>Consolidated for MBA &amp; MCA Programmes</t>
  </si>
  <si>
    <t>Printers</t>
  </si>
  <si>
    <t>40</t>
  </si>
  <si>
    <t>Lift</t>
  </si>
  <si>
    <t>AICTE &amp; University Fee &amp; NAAC</t>
  </si>
  <si>
    <t xml:space="preserve">HD CAMERA </t>
  </si>
  <si>
    <t>Bolero power AP31CG0611</t>
  </si>
  <si>
    <t>Fire Fightening System</t>
  </si>
  <si>
    <t xml:space="preserve">Force Traveller (BS-IV) - BUS </t>
  </si>
  <si>
    <t>Van</t>
  </si>
  <si>
    <t>Other income</t>
  </si>
  <si>
    <t xml:space="preserve">SURPLUS  /  DEFICIT </t>
  </si>
  <si>
    <t>Surplus / Deficit for the Year</t>
  </si>
  <si>
    <t>Computer lab equipments</t>
  </si>
  <si>
    <t>Advances Recoverable / Staff Advances</t>
  </si>
  <si>
    <t>Computer Lab Equipments</t>
  </si>
  <si>
    <t>31.03.2024</t>
  </si>
  <si>
    <t>Software</t>
  </si>
  <si>
    <t>Games/sports Expenses</t>
  </si>
  <si>
    <t>Games/Sports Expenses</t>
  </si>
  <si>
    <t xml:space="preserve">Staff Gratuity </t>
  </si>
  <si>
    <t>Schedule 18: DEPRECIATION</t>
  </si>
  <si>
    <t>GAYATRI VIDYA PARISHAD COLLEGE FOR DEGREE AND P.G. COURSES (AUTONOMOUS) VISAKHAPATNAM</t>
  </si>
  <si>
    <t>GAYATRI VIDYA PARISHAD COLLEGE FOR DEGREE AND P.G. COURSES (AUTONOMOUS)</t>
  </si>
  <si>
    <t>SURPLUS / DEFICIT</t>
  </si>
  <si>
    <t>Balance being Surplus / Deficit Carried to capital fund</t>
  </si>
  <si>
    <t>Surplus/ Deficit for the Year</t>
  </si>
  <si>
    <t>Rs.</t>
  </si>
  <si>
    <t>31.03.2025</t>
  </si>
  <si>
    <t>Security maintence</t>
  </si>
  <si>
    <t xml:space="preserve"> BALANCE SHEET AS AT 31 ST MARCH, 2025</t>
  </si>
  <si>
    <t>INCOME AND EXPENDITURE ACCOUNT FOR THE YEAR ENDED 31st MARCH, 2025</t>
  </si>
  <si>
    <t>SCHEDULES OF FIXED ASSETS AND DEPRECIATION THERE ON FOR THE YEAR ENDED 31ST MARCH 2025</t>
  </si>
  <si>
    <t>01.04.2024</t>
  </si>
  <si>
    <t>SCHEDULE OF FIXED ASSETS AND DEPRECIATION FOR THE YEAR ENDED 31st MARCH, 2025</t>
  </si>
  <si>
    <t>AS ON 
01.04.2024</t>
  </si>
  <si>
    <t>AS ON 
31.03.2025</t>
  </si>
  <si>
    <t>Lab Equipment</t>
  </si>
  <si>
    <t>25</t>
  </si>
  <si>
    <t>Principal</t>
  </si>
  <si>
    <t>INCOME AND EXPENDITURE ACCOUNT FOR THE YEAR ENDED 31st MARCH 2025</t>
  </si>
  <si>
    <t xml:space="preserve"> SCHEDULE OF FIXED ASSETS AND DEPRECIATION THEREON FOR THE YEAR ENDED 31st MARCH 2025</t>
  </si>
  <si>
    <t>AS ON 01.04.2024</t>
  </si>
  <si>
    <t>AS ON 31.3.2025</t>
  </si>
  <si>
    <t>FURNITURE</t>
  </si>
  <si>
    <t>ELECTRICAL &amp; OTHER EQUIPMENTS</t>
  </si>
  <si>
    <t>LAB EQUIPMENTS</t>
  </si>
  <si>
    <t>COMPUTERS &amp; PRINTERS</t>
  </si>
  <si>
    <t>LIBRARY</t>
  </si>
  <si>
    <t>For Raghavendra Ram &amp; Co LLP</t>
  </si>
  <si>
    <t>Prof. K.S.BOSE</t>
  </si>
  <si>
    <t>Prof.P SOMARAJU</t>
  </si>
  <si>
    <t>Firm Regd. No S200075</t>
  </si>
  <si>
    <t xml:space="preserve">  V.R.K.S.SIVA PRASAD</t>
  </si>
  <si>
    <t>Kandala Sai Ram</t>
  </si>
  <si>
    <t>Designated Partner</t>
  </si>
  <si>
    <t>Membership No.232563</t>
  </si>
  <si>
    <t>Language Phone Lab Equip.</t>
  </si>
  <si>
    <t>Date : 03.09.2025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</si>
</sst>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64" formatCode="_(* #,##0.00_);_(* \(#,##0.00\);_(* &quot;-&quot;??_);_(@_)"/>
    <numFmt numFmtId="165" formatCode="0_);\(0\)"/>
    <numFmt numFmtId="166" formatCode="0.0"/>
    <numFmt numFmtId="167" formatCode="0.00;[Red]0.00"/>
    <numFmt numFmtId="168" formatCode="_(* #,##0_);_(* \(#,##0\);_(* &quot;-&quot;??_);_(@_)"/>
    <numFmt numFmtId="169" formatCode="#,##0;[Red]#,##0"/>
    <numFmt numFmtId="170" formatCode="#,##0.00;[Red]#,##0.00"/>
    <numFmt numFmtId="171" formatCode="##\ ##\ ##\ ##\ ##0.00"/>
    <numFmt numFmtId="172" formatCode="_ * #,##0_ ;_ * \-#,##0_ ;_ * &quot;-&quot;??_ ;_ @_ "/>
    <numFmt numFmtId="173" formatCode="mm/dd/yy;@"/>
    <numFmt numFmtId="174" formatCode="[&lt;=9999999]###\-####;\(###\)\ ###\-####"/>
    <numFmt numFmtId="175" formatCode="_ * #,##0.0_ ;_ * \-#,##0.0_ ;_ * &quot;-&quot;??_ ;_ @_ 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2"/>
      <color indexed="8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.5"/>
      <name val="Times New Roman"/>
      <family val="1"/>
    </font>
    <font>
      <b/>
      <sz val="12"/>
      <color theme="1"/>
      <name val="Times New Roman"/>
      <family val="1"/>
    </font>
    <font>
      <sz val="12"/>
      <color rgb="FF222222"/>
      <name val="Arial"/>
      <family val="2"/>
    </font>
    <font>
      <sz val="12"/>
      <color rgb="FFFF0000"/>
      <name val="Times New Roman"/>
      <family val="1"/>
    </font>
    <font>
      <sz val="10"/>
      <color rgb="FFFF0000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7" fillId="0" borderId="0"/>
    <xf numFmtId="0" fontId="1" fillId="0" borderId="0"/>
    <xf numFmtId="0" fontId="1" fillId="0" borderId="0"/>
  </cellStyleXfs>
  <cellXfs count="8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" fontId="3" fillId="0" borderId="0" xfId="0" applyNumberFormat="1" applyFont="1"/>
    <xf numFmtId="1" fontId="2" fillId="0" borderId="0" xfId="0" applyNumberFormat="1" applyFont="1"/>
    <xf numFmtId="1" fontId="7" fillId="0" borderId="0" xfId="0" applyNumberFormat="1" applyFont="1"/>
    <xf numFmtId="2" fontId="7" fillId="0" borderId="0" xfId="0" applyNumberFormat="1" applyFont="1"/>
    <xf numFmtId="1" fontId="7" fillId="0" borderId="1" xfId="0" applyNumberFormat="1" applyFont="1" applyBorder="1"/>
    <xf numFmtId="0" fontId="7" fillId="0" borderId="0" xfId="0" applyFont="1"/>
    <xf numFmtId="1" fontId="0" fillId="0" borderId="0" xfId="0" applyNumberFormat="1"/>
    <xf numFmtId="0" fontId="10" fillId="0" borderId="0" xfId="0" applyFont="1"/>
    <xf numFmtId="1" fontId="10" fillId="0" borderId="0" xfId="0" applyNumberFormat="1" applyFont="1"/>
    <xf numFmtId="2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center"/>
    </xf>
    <xf numFmtId="1" fontId="6" fillId="0" borderId="0" xfId="0" applyNumberFormat="1" applyFont="1"/>
    <xf numFmtId="2" fontId="10" fillId="0" borderId="0" xfId="0" applyNumberFormat="1" applyFont="1"/>
    <xf numFmtId="0" fontId="9" fillId="0" borderId="0" xfId="0" applyFont="1"/>
    <xf numFmtId="0" fontId="14" fillId="0" borderId="0" xfId="0" applyFont="1"/>
    <xf numFmtId="0" fontId="7" fillId="0" borderId="3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5" xfId="0" applyFont="1" applyBorder="1"/>
    <xf numFmtId="1" fontId="7" fillId="0" borderId="5" xfId="0" applyNumberFormat="1" applyFont="1" applyBorder="1"/>
    <xf numFmtId="1" fontId="8" fillId="0" borderId="1" xfId="0" applyNumberFormat="1" applyFont="1" applyBorder="1"/>
    <xf numFmtId="1" fontId="8" fillId="0" borderId="9" xfId="0" applyNumberFormat="1" applyFont="1" applyBorder="1"/>
    <xf numFmtId="1" fontId="7" fillId="0" borderId="9" xfId="0" applyNumberFormat="1" applyFont="1" applyBorder="1"/>
    <xf numFmtId="0" fontId="15" fillId="0" borderId="0" xfId="0" applyFont="1"/>
    <xf numFmtId="0" fontId="8" fillId="0" borderId="10" xfId="0" applyFont="1" applyBorder="1" applyAlignment="1">
      <alignment horizontal="center"/>
    </xf>
    <xf numFmtId="0" fontId="7" fillId="0" borderId="10" xfId="0" applyFont="1" applyBorder="1"/>
    <xf numFmtId="1" fontId="7" fillId="0" borderId="11" xfId="0" applyNumberFormat="1" applyFont="1" applyBorder="1"/>
    <xf numFmtId="1" fontId="8" fillId="0" borderId="12" xfId="0" applyNumberFormat="1" applyFont="1" applyBorder="1"/>
    <xf numFmtId="1" fontId="7" fillId="0" borderId="12" xfId="0" applyNumberFormat="1" applyFont="1" applyBorder="1"/>
    <xf numFmtId="16" fontId="3" fillId="0" borderId="0" xfId="0" applyNumberFormat="1" applyFont="1"/>
    <xf numFmtId="14" fontId="3" fillId="0" borderId="0" xfId="0" applyNumberFormat="1" applyFont="1"/>
    <xf numFmtId="0" fontId="4" fillId="0" borderId="0" xfId="0" applyFont="1"/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16" fillId="0" borderId="3" xfId="0" applyFont="1" applyBorder="1"/>
    <xf numFmtId="0" fontId="1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1" xfId="0" applyFont="1" applyBorder="1"/>
    <xf numFmtId="0" fontId="16" fillId="0" borderId="2" xfId="0" applyFont="1" applyBorder="1" applyAlignment="1">
      <alignment horizontal="right"/>
    </xf>
    <xf numFmtId="0" fontId="0" fillId="0" borderId="3" xfId="0" applyBorder="1"/>
    <xf numFmtId="2" fontId="0" fillId="0" borderId="0" xfId="0" applyNumberFormat="1"/>
    <xf numFmtId="2" fontId="0" fillId="0" borderId="1" xfId="0" applyNumberFormat="1" applyBorder="1"/>
    <xf numFmtId="0" fontId="16" fillId="0" borderId="0" xfId="0" applyFont="1"/>
    <xf numFmtId="2" fontId="16" fillId="0" borderId="1" xfId="0" applyNumberFormat="1" applyFont="1" applyBorder="1"/>
    <xf numFmtId="2" fontId="16" fillId="0" borderId="0" xfId="0" applyNumberFormat="1" applyFont="1"/>
    <xf numFmtId="2" fontId="0" fillId="0" borderId="3" xfId="0" applyNumberFormat="1" applyBorder="1"/>
    <xf numFmtId="1" fontId="0" fillId="0" borderId="1" xfId="0" applyNumberFormat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/>
    <xf numFmtId="0" fontId="16" fillId="0" borderId="0" xfId="0" applyFont="1" applyAlignment="1">
      <alignment horizontal="right"/>
    </xf>
    <xf numFmtId="2" fontId="0" fillId="0" borderId="0" xfId="0" applyNumberFormat="1" applyAlignment="1">
      <alignment horizontal="left"/>
    </xf>
    <xf numFmtId="2" fontId="16" fillId="0" borderId="13" xfId="0" applyNumberFormat="1" applyFont="1" applyBorder="1" applyAlignment="1">
      <alignment horizontal="left"/>
    </xf>
    <xf numFmtId="0" fontId="16" fillId="0" borderId="13" xfId="0" applyFont="1" applyBorder="1"/>
    <xf numFmtId="166" fontId="0" fillId="0" borderId="0" xfId="0" applyNumberFormat="1"/>
    <xf numFmtId="0" fontId="16" fillId="0" borderId="0" xfId="0" applyFont="1" applyAlignment="1">
      <alignment horizontal="left"/>
    </xf>
    <xf numFmtId="2" fontId="16" fillId="0" borderId="13" xfId="0" applyNumberFormat="1" applyFont="1" applyBorder="1"/>
    <xf numFmtId="0" fontId="16" fillId="0" borderId="13" xfId="0" applyFont="1" applyBorder="1" applyAlignment="1">
      <alignment horizontal="right"/>
    </xf>
    <xf numFmtId="0" fontId="16" fillId="0" borderId="14" xfId="0" applyFont="1" applyBorder="1"/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1" xfId="0" applyNumberFormat="1" applyBorder="1" applyAlignment="1">
      <alignment horizontal="right"/>
    </xf>
    <xf numFmtId="0" fontId="18" fillId="0" borderId="0" xfId="0" applyFont="1" applyAlignment="1">
      <alignment vertical="top" wrapText="1"/>
    </xf>
    <xf numFmtId="0" fontId="10" fillId="0" borderId="0" xfId="0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0" fontId="19" fillId="0" borderId="0" xfId="0" applyFont="1" applyAlignment="1">
      <alignment horizontal="right" vertical="top" wrapText="1"/>
    </xf>
    <xf numFmtId="0" fontId="1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horizontal="right" vertical="top" wrapText="1"/>
    </xf>
    <xf numFmtId="0" fontId="10" fillId="0" borderId="0" xfId="0" applyFont="1" applyAlignment="1">
      <alignment horizontal="justify" vertical="top" wrapText="1"/>
    </xf>
    <xf numFmtId="165" fontId="0" fillId="0" borderId="0" xfId="0" applyNumberFormat="1"/>
    <xf numFmtId="0" fontId="13" fillId="0" borderId="0" xfId="0" applyFont="1" applyAlignment="1">
      <alignment horizontal="center"/>
    </xf>
    <xf numFmtId="0" fontId="21" fillId="0" borderId="0" xfId="0" applyFont="1"/>
    <xf numFmtId="0" fontId="13" fillId="0" borderId="0" xfId="0" applyFont="1"/>
    <xf numFmtId="0" fontId="22" fillId="0" borderId="0" xfId="0" applyFont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1" xfId="0" applyFont="1" applyBorder="1"/>
    <xf numFmtId="0" fontId="0" fillId="0" borderId="0" xfId="0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right" wrapText="1"/>
    </xf>
    <xf numFmtId="0" fontId="16" fillId="0" borderId="0" xfId="0" applyFont="1" applyAlignment="1">
      <alignment horizontal="center"/>
    </xf>
    <xf numFmtId="167" fontId="0" fillId="0" borderId="0" xfId="0" applyNumberFormat="1"/>
    <xf numFmtId="167" fontId="17" fillId="0" borderId="0" xfId="0" applyNumberFormat="1" applyFont="1"/>
    <xf numFmtId="167" fontId="16" fillId="0" borderId="13" xfId="0" applyNumberFormat="1" applyFont="1" applyBorder="1"/>
    <xf numFmtId="167" fontId="16" fillId="0" borderId="0" xfId="0" applyNumberFormat="1" applyFont="1"/>
    <xf numFmtId="2" fontId="10" fillId="0" borderId="0" xfId="1" applyNumberFormat="1" applyFont="1"/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wrapText="1"/>
    </xf>
    <xf numFmtId="1" fontId="17" fillId="0" borderId="0" xfId="0" applyNumberFormat="1" applyFont="1"/>
    <xf numFmtId="1" fontId="16" fillId="0" borderId="0" xfId="0" applyNumberFormat="1" applyFont="1"/>
    <xf numFmtId="0" fontId="0" fillId="0" borderId="15" xfId="0" applyBorder="1"/>
    <xf numFmtId="1" fontId="16" fillId="0" borderId="13" xfId="0" applyNumberFormat="1" applyFont="1" applyBorder="1"/>
    <xf numFmtId="0" fontId="0" fillId="0" borderId="13" xfId="0" applyBorder="1" applyAlignment="1">
      <alignment horizontal="right"/>
    </xf>
    <xf numFmtId="0" fontId="0" fillId="0" borderId="13" xfId="0" applyBorder="1"/>
    <xf numFmtId="1" fontId="0" fillId="0" borderId="13" xfId="0" applyNumberFormat="1" applyBorder="1"/>
    <xf numFmtId="1" fontId="16" fillId="0" borderId="1" xfId="0" applyNumberFormat="1" applyFont="1" applyBorder="1"/>
    <xf numFmtId="9" fontId="0" fillId="0" borderId="0" xfId="0" applyNumberFormat="1" applyAlignment="1">
      <alignment horizontal="center"/>
    </xf>
    <xf numFmtId="0" fontId="0" fillId="0" borderId="1" xfId="0" applyBorder="1"/>
    <xf numFmtId="0" fontId="25" fillId="0" borderId="0" xfId="0" applyFont="1"/>
    <xf numFmtId="49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4" fontId="25" fillId="0" borderId="0" xfId="0" applyNumberFormat="1" applyFont="1" applyAlignment="1">
      <alignment horizontal="center"/>
    </xf>
    <xf numFmtId="168" fontId="26" fillId="0" borderId="0" xfId="0" applyNumberFormat="1" applyFont="1" applyAlignment="1">
      <alignment horizontal="right"/>
    </xf>
    <xf numFmtId="168" fontId="25" fillId="0" borderId="0" xfId="0" applyNumberFormat="1" applyFont="1" applyAlignment="1">
      <alignment horizontal="right"/>
    </xf>
    <xf numFmtId="168" fontId="25" fillId="0" borderId="0" xfId="0" applyNumberFormat="1" applyFont="1"/>
    <xf numFmtId="0" fontId="24" fillId="0" borderId="0" xfId="0" applyFont="1"/>
    <xf numFmtId="10" fontId="25" fillId="0" borderId="0" xfId="0" applyNumberFormat="1" applyFont="1"/>
    <xf numFmtId="0" fontId="27" fillId="0" borderId="0" xfId="0" applyFont="1"/>
    <xf numFmtId="169" fontId="27" fillId="0" borderId="0" xfId="0" applyNumberFormat="1" applyFont="1"/>
    <xf numFmtId="169" fontId="27" fillId="0" borderId="3" xfId="0" applyNumberFormat="1" applyFont="1" applyBorder="1" applyAlignment="1">
      <alignment horizontal="right" vertical="top" wrapText="1"/>
    </xf>
    <xf numFmtId="169" fontId="27" fillId="0" borderId="0" xfId="0" applyNumberFormat="1" applyFont="1" applyAlignment="1">
      <alignment horizontal="right" vertical="top" wrapText="1"/>
    </xf>
    <xf numFmtId="169" fontId="17" fillId="0" borderId="0" xfId="0" applyNumberFormat="1" applyFont="1" applyAlignment="1">
      <alignment horizontal="right" vertical="top" wrapText="1"/>
    </xf>
    <xf numFmtId="169" fontId="0" fillId="0" borderId="0" xfId="0" applyNumberFormat="1"/>
    <xf numFmtId="169" fontId="0" fillId="0" borderId="3" xfId="0" applyNumberFormat="1" applyBorder="1"/>
    <xf numFmtId="3" fontId="0" fillId="0" borderId="0" xfId="0" applyNumberFormat="1"/>
    <xf numFmtId="0" fontId="28" fillId="0" borderId="0" xfId="0" applyFont="1"/>
    <xf numFmtId="0" fontId="29" fillId="0" borderId="0" xfId="0" applyFont="1"/>
    <xf numFmtId="164" fontId="16" fillId="0" borderId="13" xfId="0" applyNumberFormat="1" applyFont="1" applyBorder="1"/>
    <xf numFmtId="168" fontId="24" fillId="0" borderId="0" xfId="0" applyNumberFormat="1" applyFont="1"/>
    <xf numFmtId="1" fontId="0" fillId="0" borderId="3" xfId="0" applyNumberFormat="1" applyBorder="1"/>
    <xf numFmtId="0" fontId="24" fillId="0" borderId="0" xfId="0" applyFont="1" applyAlignment="1">
      <alignment horizontal="center"/>
    </xf>
    <xf numFmtId="1" fontId="0" fillId="0" borderId="0" xfId="0" applyNumberFormat="1" applyAlignment="1">
      <alignment horizontal="right"/>
    </xf>
    <xf numFmtId="0" fontId="30" fillId="0" borderId="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165" fontId="30" fillId="0" borderId="0" xfId="0" applyNumberFormat="1" applyFont="1" applyAlignment="1">
      <alignment horizontal="center"/>
    </xf>
    <xf numFmtId="0" fontId="30" fillId="0" borderId="3" xfId="0" applyFont="1" applyBorder="1"/>
    <xf numFmtId="165" fontId="30" fillId="0" borderId="3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" fontId="6" fillId="0" borderId="0" xfId="0" applyNumberFormat="1" applyFont="1" applyAlignment="1">
      <alignment horizontal="right"/>
    </xf>
    <xf numFmtId="0" fontId="31" fillId="0" borderId="0" xfId="0" applyFont="1" applyAlignment="1">
      <alignment vertical="top" wrapText="1"/>
    </xf>
    <xf numFmtId="0" fontId="17" fillId="0" borderId="1" xfId="0" applyFont="1" applyBorder="1" applyAlignment="1">
      <alignment horizontal="right"/>
    </xf>
    <xf numFmtId="164" fontId="17" fillId="0" borderId="0" xfId="1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1" fontId="17" fillId="0" borderId="0" xfId="1" applyNumberFormat="1" applyFont="1" applyAlignment="1">
      <alignment horizontal="right"/>
    </xf>
    <xf numFmtId="1" fontId="4" fillId="0" borderId="0" xfId="0" applyNumberFormat="1" applyFont="1"/>
    <xf numFmtId="164" fontId="17" fillId="0" borderId="0" xfId="1" applyFont="1"/>
    <xf numFmtId="164" fontId="7" fillId="0" borderId="0" xfId="1" applyFont="1" applyBorder="1"/>
    <xf numFmtId="164" fontId="7" fillId="0" borderId="5" xfId="1" applyFont="1" applyBorder="1"/>
    <xf numFmtId="164" fontId="7" fillId="0" borderId="1" xfId="1" applyFont="1" applyBorder="1"/>
    <xf numFmtId="164" fontId="8" fillId="0" borderId="1" xfId="1" applyFont="1" applyBorder="1"/>
    <xf numFmtId="164" fontId="7" fillId="0" borderId="11" xfId="1" applyFont="1" applyBorder="1"/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/>
    <xf numFmtId="0" fontId="7" fillId="0" borderId="8" xfId="0" applyFont="1" applyBorder="1"/>
    <xf numFmtId="1" fontId="7" fillId="0" borderId="8" xfId="0" applyNumberFormat="1" applyFont="1" applyBorder="1"/>
    <xf numFmtId="1" fontId="7" fillId="0" borderId="7" xfId="0" applyNumberFormat="1" applyFont="1" applyBorder="1"/>
    <xf numFmtId="164" fontId="0" fillId="0" borderId="0" xfId="1" applyFont="1"/>
    <xf numFmtId="164" fontId="16" fillId="0" borderId="1" xfId="1" applyFont="1" applyBorder="1"/>
    <xf numFmtId="164" fontId="0" fillId="0" borderId="0" xfId="1" applyFont="1" applyAlignment="1">
      <alignment horizontal="center"/>
    </xf>
    <xf numFmtId="164" fontId="16" fillId="0" borderId="1" xfId="1" applyFont="1" applyBorder="1" applyAlignment="1">
      <alignment horizontal="center"/>
    </xf>
    <xf numFmtId="164" fontId="2" fillId="0" borderId="0" xfId="1" applyFont="1"/>
    <xf numFmtId="0" fontId="6" fillId="0" borderId="0" xfId="0" applyFont="1" applyAlignment="1">
      <alignment horizontal="right" vertical="top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16" xfId="0" applyFont="1" applyBorder="1"/>
    <xf numFmtId="2" fontId="10" fillId="0" borderId="5" xfId="0" applyNumberFormat="1" applyFont="1" applyBorder="1"/>
    <xf numFmtId="1" fontId="10" fillId="0" borderId="5" xfId="0" applyNumberFormat="1" applyFont="1" applyBorder="1"/>
    <xf numFmtId="0" fontId="10" fillId="0" borderId="11" xfId="0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14" fontId="6" fillId="0" borderId="11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0" borderId="11" xfId="0" applyFont="1" applyBorder="1"/>
    <xf numFmtId="14" fontId="25" fillId="0" borderId="0" xfId="0" applyNumberFormat="1" applyFont="1" applyAlignment="1">
      <alignment horizontal="left"/>
    </xf>
    <xf numFmtId="170" fontId="25" fillId="0" borderId="0" xfId="0" applyNumberFormat="1" applyFont="1"/>
    <xf numFmtId="170" fontId="25" fillId="0" borderId="0" xfId="0" applyNumberFormat="1" applyFont="1" applyAlignment="1">
      <alignment horizontal="center"/>
    </xf>
    <xf numFmtId="170" fontId="25" fillId="0" borderId="0" xfId="0" quotePrefix="1" applyNumberFormat="1" applyFont="1" applyAlignment="1">
      <alignment horizontal="center"/>
    </xf>
    <xf numFmtId="0" fontId="25" fillId="0" borderId="0" xfId="0" applyFont="1" applyAlignment="1">
      <alignment horizontal="left" indent="1"/>
    </xf>
    <xf numFmtId="0" fontId="25" fillId="0" borderId="0" xfId="0" applyFont="1" applyAlignment="1">
      <alignment horizontal="center" vertical="center"/>
    </xf>
    <xf numFmtId="169" fontId="25" fillId="0" borderId="0" xfId="0" applyNumberFormat="1" applyFont="1"/>
    <xf numFmtId="164" fontId="25" fillId="0" borderId="0" xfId="1" applyFont="1"/>
    <xf numFmtId="37" fontId="25" fillId="0" borderId="0" xfId="0" applyNumberFormat="1" applyFont="1"/>
    <xf numFmtId="0" fontId="25" fillId="0" borderId="0" xfId="0" applyFont="1" applyAlignment="1">
      <alignment horizontal="right"/>
    </xf>
    <xf numFmtId="169" fontId="25" fillId="0" borderId="1" xfId="0" applyNumberFormat="1" applyFont="1" applyBorder="1"/>
    <xf numFmtId="169" fontId="25" fillId="0" borderId="0" xfId="1" applyNumberFormat="1" applyFont="1"/>
    <xf numFmtId="3" fontId="25" fillId="0" borderId="0" xfId="0" applyNumberFormat="1" applyFont="1"/>
    <xf numFmtId="38" fontId="25" fillId="0" borderId="0" xfId="0" applyNumberFormat="1" applyFont="1" applyAlignment="1">
      <alignment horizontal="right" vertical="center"/>
    </xf>
    <xf numFmtId="169" fontId="25" fillId="0" borderId="3" xfId="0" applyNumberFormat="1" applyFont="1" applyBorder="1"/>
    <xf numFmtId="0" fontId="25" fillId="0" borderId="3" xfId="0" applyFont="1" applyBorder="1"/>
    <xf numFmtId="170" fontId="25" fillId="0" borderId="3" xfId="0" applyNumberFormat="1" applyFont="1" applyBorder="1"/>
    <xf numFmtId="170" fontId="25" fillId="0" borderId="1" xfId="0" applyNumberFormat="1" applyFont="1" applyBorder="1"/>
    <xf numFmtId="3" fontId="24" fillId="0" borderId="0" xfId="0" applyNumberFormat="1" applyFont="1"/>
    <xf numFmtId="170" fontId="24" fillId="0" borderId="0" xfId="0" applyNumberFormat="1" applyFont="1"/>
    <xf numFmtId="0" fontId="23" fillId="0" borderId="0" xfId="0" applyFont="1"/>
    <xf numFmtId="164" fontId="23" fillId="0" borderId="0" xfId="3" applyFont="1" applyFill="1" applyBorder="1"/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8" fontId="23" fillId="0" borderId="0" xfId="0" applyNumberFormat="1" applyFont="1"/>
    <xf numFmtId="38" fontId="10" fillId="0" borderId="11" xfId="0" applyNumberFormat="1" applyFont="1" applyBorder="1"/>
    <xf numFmtId="38" fontId="10" fillId="0" borderId="11" xfId="0" applyNumberFormat="1" applyFont="1" applyBorder="1" applyAlignment="1">
      <alignment horizontal="right"/>
    </xf>
    <xf numFmtId="38" fontId="10" fillId="0" borderId="0" xfId="1" applyNumberFormat="1" applyFont="1" applyBorder="1"/>
    <xf numFmtId="0" fontId="36" fillId="0" borderId="0" xfId="0" applyFont="1"/>
    <xf numFmtId="164" fontId="36" fillId="0" borderId="0" xfId="1" applyFont="1" applyBorder="1"/>
    <xf numFmtId="0" fontId="35" fillId="0" borderId="0" xfId="0" applyFont="1"/>
    <xf numFmtId="168" fontId="10" fillId="0" borderId="11" xfId="1" applyNumberFormat="1" applyFont="1" applyBorder="1" applyAlignment="1">
      <alignment horizontal="right"/>
    </xf>
    <xf numFmtId="168" fontId="10" fillId="0" borderId="11" xfId="1" applyNumberFormat="1" applyFont="1" applyBorder="1" applyAlignment="1"/>
    <xf numFmtId="0" fontId="2" fillId="0" borderId="0" xfId="0" applyFont="1" applyAlignment="1">
      <alignment horizontal="center"/>
    </xf>
    <xf numFmtId="0" fontId="10" fillId="0" borderId="29" xfId="0" applyFont="1" applyBorder="1"/>
    <xf numFmtId="1" fontId="10" fillId="0" borderId="29" xfId="0" applyNumberFormat="1" applyFont="1" applyBorder="1"/>
    <xf numFmtId="1" fontId="6" fillId="0" borderId="29" xfId="0" applyNumberFormat="1" applyFont="1" applyBorder="1"/>
    <xf numFmtId="1" fontId="5" fillId="0" borderId="29" xfId="0" applyNumberFormat="1" applyFont="1" applyBorder="1"/>
    <xf numFmtId="0" fontId="6" fillId="0" borderId="27" xfId="0" applyFont="1" applyBorder="1" applyAlignment="1">
      <alignment horizontal="center"/>
    </xf>
    <xf numFmtId="0" fontId="5" fillId="0" borderId="29" xfId="0" applyFont="1" applyBorder="1"/>
    <xf numFmtId="0" fontId="6" fillId="0" borderId="36" xfId="0" applyFont="1" applyBorder="1" applyAlignment="1">
      <alignment horizontal="center"/>
    </xf>
    <xf numFmtId="14" fontId="6" fillId="0" borderId="30" xfId="0" applyNumberFormat="1" applyFont="1" applyBorder="1" applyAlignment="1">
      <alignment horizontal="center"/>
    </xf>
    <xf numFmtId="0" fontId="10" fillId="0" borderId="30" xfId="0" applyFont="1" applyBorder="1"/>
    <xf numFmtId="0" fontId="10" fillId="0" borderId="30" xfId="0" applyFont="1" applyBorder="1" applyAlignment="1">
      <alignment horizontal="right"/>
    </xf>
    <xf numFmtId="172" fontId="10" fillId="0" borderId="30" xfId="0" applyNumberFormat="1" applyFont="1" applyBorder="1"/>
    <xf numFmtId="172" fontId="10" fillId="0" borderId="30" xfId="0" applyNumberFormat="1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172" fontId="10" fillId="0" borderId="11" xfId="0" applyNumberFormat="1" applyFont="1" applyBorder="1"/>
    <xf numFmtId="172" fontId="10" fillId="0" borderId="11" xfId="0" applyNumberFormat="1" applyFont="1" applyBorder="1" applyAlignment="1">
      <alignment horizontal="right"/>
    </xf>
    <xf numFmtId="1" fontId="10" fillId="0" borderId="16" xfId="0" applyNumberFormat="1" applyFont="1" applyBorder="1" applyAlignment="1">
      <alignment horizontal="center"/>
    </xf>
    <xf numFmtId="172" fontId="10" fillId="0" borderId="8" xfId="0" applyNumberFormat="1" applyFont="1" applyBorder="1"/>
    <xf numFmtId="37" fontId="10" fillId="0" borderId="0" xfId="0" applyNumberFormat="1" applyFont="1"/>
    <xf numFmtId="3" fontId="2" fillId="0" borderId="0" xfId="0" applyNumberFormat="1" applyFont="1" applyAlignment="1">
      <alignment horizontal="right"/>
    </xf>
    <xf numFmtId="168" fontId="10" fillId="0" borderId="0" xfId="1" applyNumberFormat="1" applyFont="1"/>
    <xf numFmtId="0" fontId="6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164" fontId="13" fillId="0" borderId="20" xfId="1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10" fillId="0" borderId="18" xfId="0" quotePrefix="1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164" fontId="6" fillId="0" borderId="12" xfId="1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164" fontId="31" fillId="0" borderId="12" xfId="1" applyFont="1" applyBorder="1" applyAlignment="1">
      <alignment vertical="center"/>
    </xf>
    <xf numFmtId="164" fontId="10" fillId="0" borderId="12" xfId="1" applyFont="1" applyBorder="1" applyAlignment="1">
      <alignment vertical="center"/>
    </xf>
    <xf numFmtId="3" fontId="10" fillId="0" borderId="12" xfId="0" applyNumberFormat="1" applyFont="1" applyBorder="1" applyAlignment="1">
      <alignment horizontal="center" vertical="center"/>
    </xf>
    <xf numFmtId="164" fontId="10" fillId="0" borderId="12" xfId="1" applyFont="1" applyBorder="1" applyAlignment="1">
      <alignment horizontal="right" vertical="center"/>
    </xf>
    <xf numFmtId="164" fontId="10" fillId="0" borderId="12" xfId="0" applyNumberFormat="1" applyFont="1" applyBorder="1" applyAlignment="1">
      <alignment vertical="center"/>
    </xf>
    <xf numFmtId="164" fontId="10" fillId="0" borderId="19" xfId="1" applyFont="1" applyBorder="1" applyAlignment="1">
      <alignment vertical="center"/>
    </xf>
    <xf numFmtId="164" fontId="10" fillId="0" borderId="12" xfId="1" applyFont="1" applyBorder="1" applyAlignment="1">
      <alignment horizontal="center" vertical="center"/>
    </xf>
    <xf numFmtId="164" fontId="31" fillId="0" borderId="12" xfId="1" applyFont="1" applyBorder="1" applyAlignment="1">
      <alignment horizontal="right" vertical="center"/>
    </xf>
    <xf numFmtId="0" fontId="10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right" vertical="center" wrapText="1"/>
    </xf>
    <xf numFmtId="164" fontId="20" fillId="0" borderId="12" xfId="1" applyFont="1" applyBorder="1" applyAlignment="1">
      <alignment vertical="center"/>
    </xf>
    <xf numFmtId="164" fontId="6" fillId="0" borderId="12" xfId="1" applyFont="1" applyBorder="1" applyAlignment="1">
      <alignment vertical="center"/>
    </xf>
    <xf numFmtId="3" fontId="6" fillId="0" borderId="1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9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31" fillId="0" borderId="12" xfId="1" applyFont="1" applyBorder="1" applyAlignment="1">
      <alignment horizontal="right" vertical="center" wrapText="1"/>
    </xf>
    <xf numFmtId="164" fontId="10" fillId="0" borderId="12" xfId="1" applyFont="1" applyBorder="1" applyAlignment="1">
      <alignment vertical="center" wrapText="1"/>
    </xf>
    <xf numFmtId="164" fontId="10" fillId="0" borderId="12" xfId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9" fontId="10" fillId="0" borderId="12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vertical="center" wrapText="1"/>
    </xf>
    <xf numFmtId="164" fontId="10" fillId="0" borderId="19" xfId="1" applyFont="1" applyBorder="1" applyAlignment="1">
      <alignment vertical="center" wrapText="1"/>
    </xf>
    <xf numFmtId="164" fontId="10" fillId="0" borderId="12" xfId="1" applyFont="1" applyBorder="1" applyAlignment="1">
      <alignment horizontal="center" vertical="center" wrapText="1"/>
    </xf>
    <xf numFmtId="164" fontId="31" fillId="0" borderId="12" xfId="1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3" fontId="10" fillId="0" borderId="10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12" xfId="0" applyFont="1" applyBorder="1" applyAlignment="1">
      <alignment horizontal="right" vertical="center"/>
    </xf>
    <xf numFmtId="49" fontId="10" fillId="0" borderId="1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4" fontId="13" fillId="0" borderId="0" xfId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20" fillId="0" borderId="10" xfId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64" fontId="6" fillId="0" borderId="0" xfId="0" applyNumberFormat="1" applyFont="1"/>
    <xf numFmtId="0" fontId="40" fillId="0" borderId="18" xfId="0" applyFont="1" applyBorder="1" applyAlignment="1">
      <alignment horizontal="center" vertical="center"/>
    </xf>
    <xf numFmtId="0" fontId="40" fillId="0" borderId="12" xfId="0" applyFont="1" applyBorder="1" applyAlignment="1">
      <alignment vertical="center"/>
    </xf>
    <xf numFmtId="164" fontId="40" fillId="0" borderId="12" xfId="1" applyFont="1" applyBorder="1" applyAlignment="1">
      <alignment horizontal="center" vertical="center"/>
    </xf>
    <xf numFmtId="173" fontId="40" fillId="0" borderId="12" xfId="0" applyNumberFormat="1" applyFont="1" applyBorder="1" applyAlignment="1">
      <alignment horizontal="center" vertical="center"/>
    </xf>
    <xf numFmtId="174" fontId="40" fillId="0" borderId="12" xfId="0" applyNumberFormat="1" applyFont="1" applyBorder="1" applyAlignment="1">
      <alignment horizontal="center" vertical="center"/>
    </xf>
    <xf numFmtId="174" fontId="40" fillId="0" borderId="19" xfId="0" applyNumberFormat="1" applyFont="1" applyBorder="1" applyAlignment="1">
      <alignment horizontal="center" vertical="center"/>
    </xf>
    <xf numFmtId="14" fontId="40" fillId="0" borderId="12" xfId="0" applyNumberFormat="1" applyFont="1" applyBorder="1" applyAlignment="1">
      <alignment horizontal="center" vertical="center"/>
    </xf>
    <xf numFmtId="49" fontId="34" fillId="0" borderId="20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/>
    <xf numFmtId="0" fontId="34" fillId="0" borderId="12" xfId="0" applyFont="1" applyBorder="1" applyAlignment="1">
      <alignment horizontal="center" vertical="center" wrapText="1"/>
    </xf>
    <xf numFmtId="49" fontId="34" fillId="0" borderId="12" xfId="0" applyNumberFormat="1" applyFont="1" applyBorder="1" applyAlignment="1">
      <alignment horizontal="center" vertical="center"/>
    </xf>
    <xf numFmtId="164" fontId="34" fillId="0" borderId="12" xfId="3" applyFont="1" applyFill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164" fontId="34" fillId="0" borderId="0" xfId="0" applyNumberFormat="1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164" fontId="23" fillId="0" borderId="0" xfId="3" applyFont="1" applyFill="1" applyBorder="1" applyAlignment="1">
      <alignment vertical="center"/>
    </xf>
    <xf numFmtId="168" fontId="34" fillId="0" borderId="12" xfId="0" applyNumberFormat="1" applyFont="1" applyBorder="1" applyAlignment="1">
      <alignment vertical="center"/>
    </xf>
    <xf numFmtId="168" fontId="34" fillId="0" borderId="12" xfId="3" applyNumberFormat="1" applyFont="1" applyFill="1" applyBorder="1" applyAlignment="1">
      <alignment vertical="center"/>
    </xf>
    <xf numFmtId="168" fontId="34" fillId="0" borderId="19" xfId="0" applyNumberFormat="1" applyFont="1" applyBorder="1" applyAlignment="1">
      <alignment vertical="center"/>
    </xf>
    <xf numFmtId="0" fontId="34" fillId="0" borderId="12" xfId="0" applyFont="1" applyBorder="1" applyAlignment="1">
      <alignment vertical="center"/>
    </xf>
    <xf numFmtId="168" fontId="34" fillId="0" borderId="12" xfId="0" applyNumberFormat="1" applyFont="1" applyBorder="1" applyAlignment="1">
      <alignment horizontal="center" vertical="center"/>
    </xf>
    <xf numFmtId="164" fontId="34" fillId="0" borderId="12" xfId="0" applyNumberFormat="1" applyFont="1" applyBorder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49" fontId="34" fillId="0" borderId="0" xfId="0" applyNumberFormat="1" applyFont="1" applyAlignment="1">
      <alignment horizontal="center" vertical="center"/>
    </xf>
    <xf numFmtId="164" fontId="34" fillId="0" borderId="0" xfId="3" applyFont="1" applyFill="1" applyBorder="1" applyAlignment="1">
      <alignment vertical="center"/>
    </xf>
    <xf numFmtId="168" fontId="34" fillId="0" borderId="0" xfId="0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0" fontId="6" fillId="0" borderId="16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/>
    </xf>
    <xf numFmtId="1" fontId="10" fillId="0" borderId="11" xfId="0" applyNumberFormat="1" applyFont="1" applyBorder="1"/>
    <xf numFmtId="0" fontId="42" fillId="0" borderId="0" xfId="0" applyFont="1"/>
    <xf numFmtId="37" fontId="13" fillId="0" borderId="0" xfId="0" applyNumberFormat="1" applyFont="1"/>
    <xf numFmtId="1" fontId="13" fillId="0" borderId="0" xfId="0" applyNumberFormat="1" applyFont="1"/>
    <xf numFmtId="168" fontId="10" fillId="0" borderId="0" xfId="0" applyNumberFormat="1" applyFont="1" applyAlignment="1">
      <alignment horizontal="right"/>
    </xf>
    <xf numFmtId="1" fontId="6" fillId="0" borderId="8" xfId="0" applyNumberFormat="1" applyFont="1" applyBorder="1" applyAlignment="1">
      <alignment horizontal="center"/>
    </xf>
    <xf numFmtId="1" fontId="6" fillId="0" borderId="3" xfId="0" applyNumberFormat="1" applyFont="1" applyBorder="1"/>
    <xf numFmtId="1" fontId="6" fillId="0" borderId="5" xfId="0" applyNumberFormat="1" applyFont="1" applyBorder="1" applyAlignment="1">
      <alignment horizontal="center"/>
    </xf>
    <xf numFmtId="1" fontId="6" fillId="0" borderId="7" xfId="0" applyNumberFormat="1" applyFont="1" applyBorder="1"/>
    <xf numFmtId="1" fontId="6" fillId="0" borderId="8" xfId="0" applyNumberFormat="1" applyFont="1" applyBorder="1" applyAlignment="1">
      <alignment horizontal="right"/>
    </xf>
    <xf numFmtId="3" fontId="6" fillId="0" borderId="0" xfId="0" applyNumberFormat="1" applyFont="1"/>
    <xf numFmtId="0" fontId="10" fillId="0" borderId="10" xfId="0" applyFont="1" applyBorder="1"/>
    <xf numFmtId="170" fontId="10" fillId="0" borderId="11" xfId="0" applyNumberFormat="1" applyFont="1" applyBorder="1"/>
    <xf numFmtId="0" fontId="10" fillId="0" borderId="11" xfId="0" applyFont="1" applyBorder="1" applyAlignment="1">
      <alignment horizontal="center" vertical="center"/>
    </xf>
    <xf numFmtId="0" fontId="6" fillId="0" borderId="11" xfId="0" applyFont="1" applyBorder="1"/>
    <xf numFmtId="169" fontId="10" fillId="0" borderId="0" xfId="0" applyNumberFormat="1" applyFont="1"/>
    <xf numFmtId="170" fontId="6" fillId="0" borderId="11" xfId="0" applyNumberFormat="1" applyFont="1" applyBorder="1" applyAlignment="1">
      <alignment horizontal="center"/>
    </xf>
    <xf numFmtId="170" fontId="6" fillId="0" borderId="11" xfId="0" quotePrefix="1" applyNumberFormat="1" applyFont="1" applyBorder="1" applyAlignment="1">
      <alignment horizontal="center"/>
    </xf>
    <xf numFmtId="168" fontId="10" fillId="0" borderId="11" xfId="1" applyNumberFormat="1" applyFont="1" applyBorder="1"/>
    <xf numFmtId="0" fontId="20" fillId="0" borderId="0" xfId="0" applyFont="1" applyAlignment="1">
      <alignment vertical="top" wrapText="1"/>
    </xf>
    <xf numFmtId="0" fontId="6" fillId="0" borderId="0" xfId="0" applyFont="1"/>
    <xf numFmtId="0" fontId="10" fillId="0" borderId="16" xfId="0" applyFont="1" applyBorder="1" applyAlignment="1">
      <alignment horizontal="center"/>
    </xf>
    <xf numFmtId="1" fontId="6" fillId="0" borderId="30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6" fillId="0" borderId="11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1" fontId="10" fillId="0" borderId="29" xfId="0" applyNumberFormat="1" applyFont="1" applyBorder="1" applyAlignment="1">
      <alignment vertical="center"/>
    </xf>
    <xf numFmtId="1" fontId="10" fillId="0" borderId="0" xfId="0" applyNumberFormat="1" applyFont="1" applyAlignment="1">
      <alignment vertical="center"/>
    </xf>
    <xf numFmtId="1" fontId="6" fillId="0" borderId="29" xfId="0" applyNumberFormat="1" applyFont="1" applyBorder="1" applyAlignment="1">
      <alignment vertical="center"/>
    </xf>
    <xf numFmtId="1" fontId="10" fillId="0" borderId="5" xfId="0" applyNumberFormat="1" applyFont="1" applyBorder="1" applyAlignment="1">
      <alignment vertical="center"/>
    </xf>
    <xf numFmtId="2" fontId="10" fillId="0" borderId="5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168" fontId="10" fillId="0" borderId="0" xfId="1" applyNumberFormat="1" applyFont="1" applyAlignment="1">
      <alignment vertical="center"/>
    </xf>
    <xf numFmtId="0" fontId="10" fillId="0" borderId="30" xfId="0" applyFont="1" applyBorder="1" applyAlignment="1">
      <alignment vertical="center"/>
    </xf>
    <xf numFmtId="1" fontId="10" fillId="0" borderId="1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10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11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168" fontId="10" fillId="0" borderId="0" xfId="1" applyNumberFormat="1" applyFont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168" fontId="6" fillId="0" borderId="11" xfId="1" applyNumberFormat="1" applyFont="1" applyBorder="1" applyAlignment="1">
      <alignment horizontal="center" vertical="center"/>
    </xf>
    <xf numFmtId="168" fontId="10" fillId="0" borderId="27" xfId="1" applyNumberFormat="1" applyFont="1" applyBorder="1" applyAlignment="1">
      <alignment vertical="center"/>
    </xf>
    <xf numFmtId="168" fontId="10" fillId="0" borderId="11" xfId="1" applyNumberFormat="1" applyFont="1" applyBorder="1" applyAlignment="1">
      <alignment horizontal="right" vertical="center"/>
    </xf>
    <xf numFmtId="168" fontId="10" fillId="0" borderId="11" xfId="1" applyNumberFormat="1" applyFont="1" applyBorder="1" applyAlignment="1">
      <alignment vertical="center"/>
    </xf>
    <xf numFmtId="168" fontId="10" fillId="0" borderId="5" xfId="1" applyNumberFormat="1" applyFont="1" applyBorder="1" applyAlignment="1">
      <alignment vertical="center"/>
    </xf>
    <xf numFmtId="168" fontId="6" fillId="0" borderId="8" xfId="1" applyNumberFormat="1" applyFont="1" applyBorder="1" applyAlignment="1">
      <alignment horizontal="right" vertical="center"/>
    </xf>
    <xf numFmtId="168" fontId="10" fillId="0" borderId="5" xfId="1" applyNumberFormat="1" applyFont="1" applyBorder="1" applyAlignment="1">
      <alignment horizontal="right" vertical="center"/>
    </xf>
    <xf numFmtId="168" fontId="10" fillId="0" borderId="0" xfId="1" applyNumberFormat="1" applyFont="1" applyBorder="1" applyAlignment="1">
      <alignment vertical="center"/>
    </xf>
    <xf numFmtId="168" fontId="10" fillId="0" borderId="0" xfId="1" applyNumberFormat="1" applyFont="1" applyBorder="1" applyAlignment="1">
      <alignment horizontal="right" vertical="center"/>
    </xf>
    <xf numFmtId="168" fontId="6" fillId="0" borderId="22" xfId="1" applyNumberFormat="1" applyFont="1" applyBorder="1" applyAlignment="1">
      <alignment horizontal="right" vertical="center"/>
    </xf>
    <xf numFmtId="168" fontId="6" fillId="0" borderId="8" xfId="1" applyNumberFormat="1" applyFont="1" applyBorder="1" applyAlignment="1">
      <alignment horizontal="center" vertical="center"/>
    </xf>
    <xf numFmtId="168" fontId="10" fillId="0" borderId="0" xfId="1" applyNumberFormat="1" applyFont="1" applyFill="1" applyBorder="1" applyAlignment="1">
      <alignment vertical="center"/>
    </xf>
    <xf numFmtId="168" fontId="10" fillId="0" borderId="11" xfId="1" applyNumberFormat="1" applyFont="1" applyFill="1" applyBorder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168" fontId="3" fillId="0" borderId="0" xfId="1" applyNumberFormat="1" applyFont="1" applyAlignment="1">
      <alignment vertical="center"/>
    </xf>
    <xf numFmtId="168" fontId="2" fillId="0" borderId="0" xfId="1" applyNumberFormat="1" applyFont="1" applyAlignment="1">
      <alignment horizontal="right" vertical="center"/>
    </xf>
    <xf numFmtId="168" fontId="2" fillId="0" borderId="0" xfId="1" applyNumberFormat="1" applyFont="1" applyAlignment="1">
      <alignment vertical="center"/>
    </xf>
    <xf numFmtId="168" fontId="2" fillId="0" borderId="0" xfId="1" applyNumberFormat="1" applyFont="1" applyAlignment="1">
      <alignment horizontal="right"/>
    </xf>
    <xf numFmtId="168" fontId="2" fillId="0" borderId="0" xfId="1" applyNumberFormat="1" applyFont="1"/>
    <xf numFmtId="168" fontId="10" fillId="0" borderId="16" xfId="1" applyNumberFormat="1" applyFont="1" applyBorder="1" applyAlignment="1">
      <alignment vertical="center"/>
    </xf>
    <xf numFmtId="168" fontId="6" fillId="0" borderId="0" xfId="1" applyNumberFormat="1" applyFont="1" applyBorder="1" applyAlignment="1">
      <alignment horizontal="right" vertical="center"/>
    </xf>
    <xf numFmtId="172" fontId="6" fillId="0" borderId="22" xfId="0" applyNumberFormat="1" applyFont="1" applyBorder="1"/>
    <xf numFmtId="172" fontId="6" fillId="0" borderId="24" xfId="0" applyNumberFormat="1" applyFont="1" applyBorder="1"/>
    <xf numFmtId="0" fontId="6" fillId="0" borderId="39" xfId="0" applyFont="1" applyBorder="1"/>
    <xf numFmtId="170" fontId="10" fillId="0" borderId="16" xfId="0" applyNumberFormat="1" applyFont="1" applyBorder="1"/>
    <xf numFmtId="170" fontId="10" fillId="0" borderId="30" xfId="0" applyNumberFormat="1" applyFont="1" applyBorder="1"/>
    <xf numFmtId="0" fontId="10" fillId="0" borderId="39" xfId="0" applyFont="1" applyBorder="1" applyAlignment="1">
      <alignment horizontal="left" indent="1"/>
    </xf>
    <xf numFmtId="169" fontId="10" fillId="0" borderId="16" xfId="0" applyNumberFormat="1" applyFont="1" applyBorder="1"/>
    <xf numFmtId="0" fontId="10" fillId="0" borderId="39" xfId="0" applyFont="1" applyBorder="1"/>
    <xf numFmtId="0" fontId="10" fillId="0" borderId="35" xfId="0" applyFont="1" applyBorder="1"/>
    <xf numFmtId="0" fontId="10" fillId="0" borderId="37" xfId="0" applyFont="1" applyBorder="1"/>
    <xf numFmtId="0" fontId="10" fillId="0" borderId="41" xfId="0" applyFont="1" applyBorder="1"/>
    <xf numFmtId="170" fontId="6" fillId="0" borderId="38" xfId="0" applyNumberFormat="1" applyFont="1" applyBorder="1" applyAlignment="1">
      <alignment horizontal="center"/>
    </xf>
    <xf numFmtId="0" fontId="6" fillId="0" borderId="27" xfId="0" applyFont="1" applyBorder="1"/>
    <xf numFmtId="170" fontId="6" fillId="0" borderId="36" xfId="0" applyNumberFormat="1" applyFont="1" applyBorder="1" applyAlignment="1">
      <alignment horizontal="center"/>
    </xf>
    <xf numFmtId="170" fontId="6" fillId="0" borderId="16" xfId="0" applyNumberFormat="1" applyFont="1" applyBorder="1" applyAlignment="1">
      <alignment horizontal="center"/>
    </xf>
    <xf numFmtId="170" fontId="6" fillId="0" borderId="30" xfId="0" applyNumberFormat="1" applyFont="1" applyBorder="1" applyAlignment="1">
      <alignment horizontal="center"/>
    </xf>
    <xf numFmtId="170" fontId="6" fillId="0" borderId="16" xfId="0" quotePrefix="1" applyNumberFormat="1" applyFont="1" applyBorder="1" applyAlignment="1">
      <alignment horizontal="center"/>
    </xf>
    <xf numFmtId="170" fontId="6" fillId="0" borderId="30" xfId="0" quotePrefix="1" applyNumberFormat="1" applyFont="1" applyBorder="1" applyAlignment="1">
      <alignment horizontal="center"/>
    </xf>
    <xf numFmtId="0" fontId="6" fillId="0" borderId="39" xfId="0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right"/>
    </xf>
    <xf numFmtId="1" fontId="6" fillId="0" borderId="33" xfId="0" applyNumberFormat="1" applyFont="1" applyBorder="1" applyAlignment="1">
      <alignment horizontal="right"/>
    </xf>
    <xf numFmtId="168" fontId="10" fillId="0" borderId="0" xfId="1" applyNumberFormat="1" applyFont="1" applyBorder="1"/>
    <xf numFmtId="168" fontId="6" fillId="0" borderId="11" xfId="1" applyNumberFormat="1" applyFont="1" applyBorder="1" applyAlignment="1">
      <alignment horizontal="right"/>
    </xf>
    <xf numFmtId="168" fontId="6" fillId="0" borderId="8" xfId="1" applyNumberFormat="1" applyFont="1" applyBorder="1" applyAlignment="1">
      <alignment horizontal="right"/>
    </xf>
    <xf numFmtId="168" fontId="10" fillId="0" borderId="0" xfId="1" applyNumberFormat="1" applyFont="1" applyAlignment="1">
      <alignment horizontal="right"/>
    </xf>
    <xf numFmtId="3" fontId="6" fillId="0" borderId="8" xfId="0" applyNumberFormat="1" applyFont="1" applyBorder="1" applyAlignment="1">
      <alignment horizontal="right" vertical="center"/>
    </xf>
    <xf numFmtId="168" fontId="10" fillId="0" borderId="0" xfId="1" applyNumberFormat="1" applyFont="1" applyFill="1" applyBorder="1" applyAlignment="1">
      <alignment horizontal="right" vertical="center"/>
    </xf>
    <xf numFmtId="168" fontId="6" fillId="0" borderId="11" xfId="1" applyNumberFormat="1" applyFont="1" applyBorder="1" applyAlignment="1">
      <alignment horizontal="right" vertical="center"/>
    </xf>
    <xf numFmtId="0" fontId="10" fillId="0" borderId="15" xfId="0" applyFont="1" applyBorder="1"/>
    <xf numFmtId="0" fontId="10" fillId="0" borderId="45" xfId="0" applyFont="1" applyBorder="1" applyAlignment="1">
      <alignment horizontal="left" indent="1"/>
    </xf>
    <xf numFmtId="168" fontId="10" fillId="0" borderId="30" xfId="1" applyNumberFormat="1" applyFont="1" applyBorder="1"/>
    <xf numFmtId="168" fontId="10" fillId="0" borderId="30" xfId="1" applyNumberFormat="1" applyFont="1" applyBorder="1" applyAlignment="1"/>
    <xf numFmtId="168" fontId="10" fillId="0" borderId="15" xfId="1" applyNumberFormat="1" applyFont="1" applyBorder="1"/>
    <xf numFmtId="168" fontId="6" fillId="0" borderId="41" xfId="1" applyNumberFormat="1" applyFont="1" applyBorder="1"/>
    <xf numFmtId="168" fontId="6" fillId="0" borderId="40" xfId="1" applyNumberFormat="1" applyFont="1" applyBorder="1" applyAlignment="1"/>
    <xf numFmtId="168" fontId="10" fillId="0" borderId="0" xfId="1" applyNumberFormat="1" applyFont="1" applyBorder="1" applyAlignment="1">
      <alignment horizontal="center"/>
    </xf>
    <xf numFmtId="168" fontId="6" fillId="0" borderId="0" xfId="1" applyNumberFormat="1" applyFont="1" applyAlignment="1">
      <alignment horizontal="right"/>
    </xf>
    <xf numFmtId="168" fontId="0" fillId="0" borderId="0" xfId="1" applyNumberFormat="1" applyFont="1"/>
    <xf numFmtId="168" fontId="6" fillId="0" borderId="27" xfId="1" applyNumberFormat="1" applyFont="1" applyBorder="1" applyAlignment="1">
      <alignment horizontal="center"/>
    </xf>
    <xf numFmtId="168" fontId="6" fillId="0" borderId="26" xfId="1" applyNumberFormat="1" applyFont="1" applyBorder="1"/>
    <xf numFmtId="168" fontId="6" fillId="0" borderId="36" xfId="1" applyNumberFormat="1" applyFont="1" applyBorder="1" applyAlignment="1">
      <alignment horizontal="center"/>
    </xf>
    <xf numFmtId="168" fontId="6" fillId="0" borderId="11" xfId="1" applyNumberFormat="1" applyFont="1" applyBorder="1" applyAlignment="1">
      <alignment horizontal="center"/>
    </xf>
    <xf numFmtId="168" fontId="6" fillId="0" borderId="0" xfId="1" applyNumberFormat="1" applyFont="1" applyBorder="1"/>
    <xf numFmtId="168" fontId="6" fillId="0" borderId="30" xfId="1" applyNumberFormat="1" applyFont="1" applyBorder="1" applyAlignment="1">
      <alignment horizontal="center"/>
    </xf>
    <xf numFmtId="168" fontId="6" fillId="0" borderId="11" xfId="1" quotePrefix="1" applyNumberFormat="1" applyFont="1" applyBorder="1" applyAlignment="1">
      <alignment horizontal="center"/>
    </xf>
    <xf numFmtId="168" fontId="6" fillId="0" borderId="30" xfId="1" quotePrefix="1" applyNumberFormat="1" applyFont="1" applyBorder="1" applyAlignment="1">
      <alignment horizontal="center"/>
    </xf>
    <xf numFmtId="168" fontId="6" fillId="0" borderId="3" xfId="1" applyNumberFormat="1" applyFont="1" applyBorder="1" applyAlignment="1">
      <alignment horizontal="center"/>
    </xf>
    <xf numFmtId="168" fontId="6" fillId="0" borderId="0" xfId="1" applyNumberFormat="1" applyFont="1" applyBorder="1" applyAlignment="1">
      <alignment horizontal="center"/>
    </xf>
    <xf numFmtId="168" fontId="6" fillId="0" borderId="30" xfId="1" applyNumberFormat="1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36" xfId="0" applyFont="1" applyBorder="1" applyAlignment="1">
      <alignment horizontal="center" vertical="center"/>
    </xf>
    <xf numFmtId="14" fontId="6" fillId="0" borderId="30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10" fillId="0" borderId="11" xfId="0" applyFont="1" applyBorder="1" applyAlignment="1">
      <alignment horizontal="right" vertical="center"/>
    </xf>
    <xf numFmtId="172" fontId="10" fillId="0" borderId="11" xfId="0" applyNumberFormat="1" applyFont="1" applyBorder="1" applyAlignment="1">
      <alignment vertical="center"/>
    </xf>
    <xf numFmtId="172" fontId="10" fillId="0" borderId="30" xfId="0" applyNumberFormat="1" applyFont="1" applyBorder="1" applyAlignment="1">
      <alignment vertical="center"/>
    </xf>
    <xf numFmtId="172" fontId="10" fillId="0" borderId="11" xfId="0" applyNumberFormat="1" applyFont="1" applyBorder="1" applyAlignment="1">
      <alignment horizontal="right" vertical="center"/>
    </xf>
    <xf numFmtId="172" fontId="10" fillId="0" borderId="30" xfId="0" applyNumberFormat="1" applyFont="1" applyBorder="1" applyAlignment="1">
      <alignment horizontal="right" vertical="center"/>
    </xf>
    <xf numFmtId="1" fontId="5" fillId="0" borderId="29" xfId="0" applyNumberFormat="1" applyFont="1" applyBorder="1" applyAlignment="1">
      <alignment vertical="center"/>
    </xf>
    <xf numFmtId="1" fontId="6" fillId="0" borderId="32" xfId="0" applyNumberFormat="1" applyFont="1" applyBorder="1" applyAlignment="1">
      <alignment vertical="center"/>
    </xf>
    <xf numFmtId="1" fontId="10" fillId="0" borderId="9" xfId="0" applyNumberFormat="1" applyFont="1" applyBorder="1" applyAlignment="1">
      <alignment vertical="center"/>
    </xf>
    <xf numFmtId="172" fontId="6" fillId="0" borderId="22" xfId="0" applyNumberFormat="1" applyFont="1" applyBorder="1" applyAlignment="1">
      <alignment vertical="center"/>
    </xf>
    <xf numFmtId="172" fontId="6" fillId="0" borderId="24" xfId="0" applyNumberFormat="1" applyFont="1" applyBorder="1" applyAlignment="1">
      <alignment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1" fontId="10" fillId="0" borderId="1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indent="1"/>
    </xf>
    <xf numFmtId="168" fontId="6" fillId="0" borderId="0" xfId="1" applyNumberFormat="1" applyFont="1" applyBorder="1" applyAlignment="1"/>
    <xf numFmtId="0" fontId="10" fillId="0" borderId="12" xfId="0" applyFont="1" applyBorder="1"/>
    <xf numFmtId="1" fontId="10" fillId="0" borderId="12" xfId="0" applyNumberFormat="1" applyFont="1" applyBorder="1" applyAlignment="1">
      <alignment horizontal="center"/>
    </xf>
    <xf numFmtId="1" fontId="10" fillId="0" borderId="1" xfId="0" applyNumberFormat="1" applyFont="1" applyBorder="1"/>
    <xf numFmtId="0" fontId="6" fillId="0" borderId="27" xfId="0" applyFont="1" applyBorder="1" applyAlignment="1">
      <alignment horizontal="center" vertical="center"/>
    </xf>
    <xf numFmtId="1" fontId="6" fillId="0" borderId="32" xfId="0" applyNumberFormat="1" applyFont="1" applyBorder="1"/>
    <xf numFmtId="168" fontId="6" fillId="0" borderId="40" xfId="1" applyNumberFormat="1" applyFont="1" applyBorder="1"/>
    <xf numFmtId="170" fontId="6" fillId="0" borderId="27" xfId="0" applyNumberFormat="1" applyFont="1" applyBorder="1" applyAlignment="1">
      <alignment horizontal="center"/>
    </xf>
    <xf numFmtId="168" fontId="6" fillId="0" borderId="27" xfId="1" applyNumberFormat="1" applyFont="1" applyBorder="1" applyAlignment="1">
      <alignment horizontal="center" vertical="center"/>
    </xf>
    <xf numFmtId="168" fontId="6" fillId="0" borderId="28" xfId="1" applyNumberFormat="1" applyFont="1" applyBorder="1" applyAlignment="1">
      <alignment horizontal="center" vertical="center"/>
    </xf>
    <xf numFmtId="168" fontId="6" fillId="0" borderId="30" xfId="1" applyNumberFormat="1" applyFont="1" applyBorder="1" applyAlignment="1">
      <alignment horizontal="center" vertical="center"/>
    </xf>
    <xf numFmtId="168" fontId="6" fillId="0" borderId="31" xfId="1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left" vertical="center"/>
    </xf>
    <xf numFmtId="168" fontId="10" fillId="0" borderId="28" xfId="1" applyNumberFormat="1" applyFont="1" applyBorder="1" applyAlignment="1">
      <alignment horizontal="right" vertical="center"/>
    </xf>
    <xf numFmtId="168" fontId="10" fillId="0" borderId="30" xfId="1" applyNumberFormat="1" applyFont="1" applyBorder="1" applyAlignment="1">
      <alignment horizontal="right" vertical="center"/>
    </xf>
    <xf numFmtId="168" fontId="10" fillId="0" borderId="31" xfId="1" applyNumberFormat="1" applyFont="1" applyBorder="1" applyAlignment="1">
      <alignment horizontal="right" vertical="center"/>
    </xf>
    <xf numFmtId="168" fontId="6" fillId="0" borderId="19" xfId="1" applyNumberFormat="1" applyFont="1" applyBorder="1" applyAlignment="1">
      <alignment horizontal="right" vertical="center"/>
    </xf>
    <xf numFmtId="168" fontId="10" fillId="0" borderId="33" xfId="1" applyNumberFormat="1" applyFont="1" applyBorder="1" applyAlignment="1">
      <alignment horizontal="right" vertical="center"/>
    </xf>
    <xf numFmtId="0" fontId="6" fillId="0" borderId="29" xfId="0" applyFont="1" applyBorder="1" applyAlignment="1">
      <alignment vertical="center"/>
    </xf>
    <xf numFmtId="0" fontId="31" fillId="0" borderId="29" xfId="0" applyFont="1" applyBorder="1" applyAlignment="1">
      <alignment vertical="center" wrapText="1"/>
    </xf>
    <xf numFmtId="1" fontId="3" fillId="0" borderId="29" xfId="0" applyNumberFormat="1" applyFont="1" applyBorder="1" applyAlignment="1">
      <alignment vertical="center"/>
    </xf>
    <xf numFmtId="168" fontId="6" fillId="0" borderId="24" xfId="1" applyNumberFormat="1" applyFont="1" applyBorder="1" applyAlignment="1">
      <alignment horizontal="right" vertical="center"/>
    </xf>
    <xf numFmtId="1" fontId="10" fillId="0" borderId="35" xfId="0" applyNumberFormat="1" applyFont="1" applyBorder="1" applyAlignment="1">
      <alignment vertical="center"/>
    </xf>
    <xf numFmtId="1" fontId="10" fillId="0" borderId="15" xfId="0" applyNumberFormat="1" applyFont="1" applyBorder="1" applyAlignment="1">
      <alignment vertical="center"/>
    </xf>
    <xf numFmtId="168" fontId="6" fillId="0" borderId="46" xfId="1" applyNumberFormat="1" applyFont="1" applyBorder="1" applyAlignment="1">
      <alignment horizontal="right" vertical="center"/>
    </xf>
    <xf numFmtId="168" fontId="10" fillId="0" borderId="12" xfId="1" applyNumberFormat="1" applyFont="1" applyBorder="1" applyAlignment="1">
      <alignment vertical="center"/>
    </xf>
    <xf numFmtId="168" fontId="6" fillId="0" borderId="22" xfId="1" applyNumberFormat="1" applyFont="1" applyBorder="1" applyAlignment="1">
      <alignment horizontal="right"/>
    </xf>
    <xf numFmtId="38" fontId="10" fillId="0" borderId="22" xfId="0" applyNumberFormat="1" applyFont="1" applyBorder="1" applyAlignment="1">
      <alignment horizontal="right"/>
    </xf>
    <xf numFmtId="38" fontId="10" fillId="0" borderId="22" xfId="0" applyNumberFormat="1" applyFont="1" applyBorder="1"/>
    <xf numFmtId="38" fontId="10" fillId="0" borderId="22" xfId="1" applyNumberFormat="1" applyFont="1" applyBorder="1" applyAlignment="1">
      <alignment horizontal="right"/>
    </xf>
    <xf numFmtId="38" fontId="3" fillId="0" borderId="22" xfId="0" applyNumberFormat="1" applyFont="1" applyBorder="1"/>
    <xf numFmtId="168" fontId="6" fillId="0" borderId="22" xfId="1" applyNumberFormat="1" applyFont="1" applyFill="1" applyBorder="1" applyAlignment="1"/>
    <xf numFmtId="168" fontId="6" fillId="0" borderId="22" xfId="1" applyNumberFormat="1" applyFont="1" applyBorder="1" applyAlignment="1"/>
    <xf numFmtId="37" fontId="10" fillId="0" borderId="22" xfId="0" applyNumberFormat="1" applyFont="1" applyBorder="1"/>
    <xf numFmtId="38" fontId="6" fillId="0" borderId="22" xfId="0" applyNumberFormat="1" applyFont="1" applyBorder="1"/>
    <xf numFmtId="1" fontId="6" fillId="0" borderId="27" xfId="0" applyNumberFormat="1" applyFont="1" applyBorder="1" applyAlignment="1">
      <alignment horizontal="center"/>
    </xf>
    <xf numFmtId="1" fontId="6" fillId="0" borderId="28" xfId="0" applyNumberFormat="1" applyFont="1" applyBorder="1" applyAlignment="1">
      <alignment horizontal="center"/>
    </xf>
    <xf numFmtId="1" fontId="6" fillId="0" borderId="47" xfId="0" applyNumberFormat="1" applyFont="1" applyBorder="1" applyAlignment="1">
      <alignment horizontal="right"/>
    </xf>
    <xf numFmtId="0" fontId="6" fillId="0" borderId="29" xfId="0" applyFont="1" applyBorder="1" applyAlignment="1">
      <alignment horizontal="left"/>
    </xf>
    <xf numFmtId="0" fontId="10" fillId="0" borderId="31" xfId="0" applyFont="1" applyBorder="1"/>
    <xf numFmtId="168" fontId="10" fillId="0" borderId="31" xfId="0" applyNumberFormat="1" applyFont="1" applyBorder="1"/>
    <xf numFmtId="168" fontId="6" fillId="0" borderId="24" xfId="0" applyNumberFormat="1" applyFont="1" applyBorder="1"/>
    <xf numFmtId="168" fontId="10" fillId="0" borderId="30" xfId="0" applyNumberFormat="1" applyFont="1" applyBorder="1"/>
    <xf numFmtId="168" fontId="10" fillId="0" borderId="33" xfId="1" applyNumberFormat="1" applyFont="1" applyBorder="1" applyAlignment="1"/>
    <xf numFmtId="0" fontId="6" fillId="0" borderId="29" xfId="0" applyFont="1" applyBorder="1"/>
    <xf numFmtId="0" fontId="3" fillId="0" borderId="30" xfId="0" applyFont="1" applyBorder="1"/>
    <xf numFmtId="0" fontId="31" fillId="0" borderId="29" xfId="0" applyFont="1" applyBorder="1" applyAlignment="1">
      <alignment vertical="top" wrapText="1"/>
    </xf>
    <xf numFmtId="168" fontId="10" fillId="0" borderId="30" xfId="1" applyNumberFormat="1" applyFont="1" applyBorder="1" applyAlignment="1">
      <alignment horizontal="right"/>
    </xf>
    <xf numFmtId="1" fontId="3" fillId="0" borderId="29" xfId="0" applyNumberFormat="1" applyFont="1" applyBorder="1"/>
    <xf numFmtId="168" fontId="3" fillId="0" borderId="30" xfId="0" applyNumberFormat="1" applyFont="1" applyBorder="1" applyAlignment="1">
      <alignment horizontal="right"/>
    </xf>
    <xf numFmtId="168" fontId="6" fillId="0" borderId="24" xfId="0" applyNumberFormat="1" applyFont="1" applyBorder="1" applyAlignment="1">
      <alignment horizontal="right"/>
    </xf>
    <xf numFmtId="168" fontId="10" fillId="0" borderId="30" xfId="0" applyNumberFormat="1" applyFont="1" applyBorder="1" applyAlignment="1">
      <alignment horizontal="right"/>
    </xf>
    <xf numFmtId="1" fontId="10" fillId="0" borderId="35" xfId="0" applyNumberFormat="1" applyFont="1" applyBorder="1"/>
    <xf numFmtId="1" fontId="10" fillId="0" borderId="15" xfId="0" applyNumberFormat="1" applyFont="1" applyBorder="1"/>
    <xf numFmtId="1" fontId="6" fillId="0" borderId="26" xfId="0" applyNumberFormat="1" applyFont="1" applyBorder="1"/>
    <xf numFmtId="1" fontId="6" fillId="0" borderId="36" xfId="0" applyNumberFormat="1" applyFont="1" applyBorder="1" applyAlignment="1">
      <alignment horizontal="center"/>
    </xf>
    <xf numFmtId="1" fontId="6" fillId="0" borderId="33" xfId="0" applyNumberFormat="1" applyFont="1" applyBorder="1" applyAlignment="1">
      <alignment horizontal="center"/>
    </xf>
    <xf numFmtId="1" fontId="6" fillId="0" borderId="30" xfId="0" applyNumberFormat="1" applyFont="1" applyBorder="1"/>
    <xf numFmtId="1" fontId="10" fillId="0" borderId="30" xfId="0" applyNumberFormat="1" applyFont="1" applyBorder="1"/>
    <xf numFmtId="0" fontId="6" fillId="0" borderId="33" xfId="0" applyFont="1" applyBorder="1" applyAlignment="1">
      <alignment horizontal="center" vertical="center"/>
    </xf>
    <xf numFmtId="1" fontId="11" fillId="0" borderId="29" xfId="0" applyNumberFormat="1" applyFont="1" applyBorder="1"/>
    <xf numFmtId="1" fontId="6" fillId="0" borderId="49" xfId="0" applyNumberFormat="1" applyFont="1" applyBorder="1"/>
    <xf numFmtId="2" fontId="10" fillId="0" borderId="14" xfId="0" applyNumberFormat="1" applyFont="1" applyBorder="1"/>
    <xf numFmtId="1" fontId="10" fillId="0" borderId="22" xfId="0" applyNumberFormat="1" applyFont="1" applyBorder="1" applyAlignment="1">
      <alignment horizontal="center"/>
    </xf>
    <xf numFmtId="168" fontId="6" fillId="0" borderId="24" xfId="1" applyNumberFormat="1" applyFont="1" applyBorder="1" applyAlignment="1"/>
    <xf numFmtId="168" fontId="6" fillId="0" borderId="22" xfId="1" applyNumberFormat="1" applyFont="1" applyBorder="1"/>
    <xf numFmtId="168" fontId="10" fillId="0" borderId="22" xfId="1" applyNumberFormat="1" applyFont="1" applyBorder="1" applyAlignment="1">
      <alignment horizontal="right" vertical="center"/>
    </xf>
    <xf numFmtId="168" fontId="10" fillId="0" borderId="22" xfId="1" applyNumberFormat="1" applyFont="1" applyBorder="1" applyAlignment="1">
      <alignment vertical="center"/>
    </xf>
    <xf numFmtId="168" fontId="6" fillId="0" borderId="22" xfId="1" applyNumberFormat="1" applyFont="1" applyFill="1" applyBorder="1" applyAlignment="1">
      <alignment horizontal="right" vertical="center"/>
    </xf>
    <xf numFmtId="168" fontId="10" fillId="0" borderId="22" xfId="1" applyNumberFormat="1" applyFont="1" applyFill="1" applyBorder="1" applyAlignment="1">
      <alignment vertical="center"/>
    </xf>
    <xf numFmtId="169" fontId="6" fillId="0" borderId="22" xfId="0" applyNumberFormat="1" applyFont="1" applyBorder="1"/>
    <xf numFmtId="168" fontId="10" fillId="0" borderId="14" xfId="1" applyNumberFormat="1" applyFont="1" applyBorder="1" applyAlignment="1">
      <alignment horizontal="right" vertical="center"/>
    </xf>
    <xf numFmtId="168" fontId="10" fillId="0" borderId="14" xfId="1" applyNumberFormat="1" applyFont="1" applyFill="1" applyBorder="1" applyAlignment="1">
      <alignment horizontal="right" vertical="center"/>
    </xf>
    <xf numFmtId="168" fontId="10" fillId="0" borderId="14" xfId="1" applyNumberFormat="1" applyFont="1" applyBorder="1"/>
    <xf numFmtId="1" fontId="6" fillId="0" borderId="49" xfId="0" applyNumberFormat="1" applyFont="1" applyBorder="1" applyAlignment="1">
      <alignment vertical="center"/>
    </xf>
    <xf numFmtId="2" fontId="10" fillId="0" borderId="50" xfId="0" applyNumberFormat="1" applyFont="1" applyBorder="1" applyAlignment="1">
      <alignment vertical="center"/>
    </xf>
    <xf numFmtId="1" fontId="10" fillId="0" borderId="22" xfId="0" applyNumberFormat="1" applyFont="1" applyBorder="1" applyAlignment="1">
      <alignment horizontal="center" vertical="center"/>
    </xf>
    <xf numFmtId="49" fontId="34" fillId="0" borderId="8" xfId="0" applyNumberFormat="1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164" fontId="31" fillId="0" borderId="10" xfId="1" applyFont="1" applyBorder="1" applyAlignment="1">
      <alignment horizontal="right" vertical="center"/>
    </xf>
    <xf numFmtId="164" fontId="10" fillId="0" borderId="10" xfId="1" applyFont="1" applyBorder="1" applyAlignment="1">
      <alignment vertical="center"/>
    </xf>
    <xf numFmtId="164" fontId="10" fillId="0" borderId="10" xfId="1" applyFont="1" applyBorder="1" applyAlignment="1">
      <alignment horizontal="right" vertical="center"/>
    </xf>
    <xf numFmtId="1" fontId="8" fillId="0" borderId="29" xfId="0" applyNumberFormat="1" applyFont="1" applyBorder="1"/>
    <xf numFmtId="1" fontId="6" fillId="0" borderId="44" xfId="0" applyNumberFormat="1" applyFont="1" applyBorder="1" applyAlignment="1">
      <alignment horizontal="center"/>
    </xf>
    <xf numFmtId="1" fontId="6" fillId="0" borderId="33" xfId="0" applyNumberFormat="1" applyFont="1" applyBorder="1"/>
    <xf numFmtId="0" fontId="10" fillId="0" borderId="52" xfId="0" applyFont="1" applyBorder="1"/>
    <xf numFmtId="37" fontId="6" fillId="0" borderId="0" xfId="0" applyNumberFormat="1" applyFont="1"/>
    <xf numFmtId="168" fontId="6" fillId="0" borderId="0" xfId="0" applyNumberFormat="1" applyFont="1"/>
    <xf numFmtId="2" fontId="43" fillId="0" borderId="0" xfId="0" applyNumberFormat="1" applyFont="1"/>
    <xf numFmtId="1" fontId="43" fillId="0" borderId="0" xfId="0" applyNumberFormat="1" applyFont="1"/>
    <xf numFmtId="1" fontId="43" fillId="0" borderId="0" xfId="0" applyNumberFormat="1" applyFont="1" applyAlignment="1">
      <alignment horizontal="right"/>
    </xf>
    <xf numFmtId="0" fontId="44" fillId="0" borderId="0" xfId="0" applyFont="1"/>
    <xf numFmtId="1" fontId="44" fillId="0" borderId="0" xfId="0" applyNumberFormat="1" applyFont="1"/>
    <xf numFmtId="169" fontId="43" fillId="0" borderId="0" xfId="0" applyNumberFormat="1" applyFont="1"/>
    <xf numFmtId="0" fontId="43" fillId="0" borderId="0" xfId="0" applyFont="1"/>
    <xf numFmtId="169" fontId="10" fillId="0" borderId="30" xfId="0" applyNumberFormat="1" applyFont="1" applyBorder="1"/>
    <xf numFmtId="164" fontId="10" fillId="0" borderId="30" xfId="2" applyFont="1" applyBorder="1" applyAlignment="1"/>
    <xf numFmtId="168" fontId="10" fillId="0" borderId="30" xfId="2" applyNumberFormat="1" applyFont="1" applyBorder="1" applyAlignment="1"/>
    <xf numFmtId="169" fontId="6" fillId="0" borderId="24" xfId="0" applyNumberFormat="1" applyFont="1" applyBorder="1"/>
    <xf numFmtId="169" fontId="10" fillId="0" borderId="30" xfId="2" applyNumberFormat="1" applyFont="1" applyBorder="1" applyAlignment="1"/>
    <xf numFmtId="169" fontId="6" fillId="0" borderId="40" xfId="0" applyNumberFormat="1" applyFont="1" applyBorder="1"/>
    <xf numFmtId="0" fontId="6" fillId="0" borderId="33" xfId="0" applyFont="1" applyBorder="1" applyAlignment="1">
      <alignment horizontal="center"/>
    </xf>
    <xf numFmtId="168" fontId="39" fillId="0" borderId="11" xfId="1" applyNumberFormat="1" applyFont="1" applyBorder="1" applyAlignment="1">
      <alignment horizontal="right" vertical="center"/>
    </xf>
    <xf numFmtId="168" fontId="39" fillId="0" borderId="8" xfId="1" applyNumberFormat="1" applyFont="1" applyBorder="1" applyAlignment="1">
      <alignment horizontal="right" vertical="center"/>
    </xf>
    <xf numFmtId="168" fontId="41" fillId="0" borderId="27" xfId="1" applyNumberFormat="1" applyFont="1" applyBorder="1" applyAlignment="1">
      <alignment horizontal="center" vertical="center"/>
    </xf>
    <xf numFmtId="168" fontId="41" fillId="0" borderId="11" xfId="1" applyNumberFormat="1" applyFont="1" applyBorder="1" applyAlignment="1">
      <alignment horizontal="center" vertical="center"/>
    </xf>
    <xf numFmtId="168" fontId="41" fillId="0" borderId="41" xfId="1" applyNumberFormat="1" applyFont="1" applyBorder="1" applyAlignment="1">
      <alignment horizontal="center" vertical="center"/>
    </xf>
    <xf numFmtId="168" fontId="39" fillId="0" borderId="27" xfId="1" applyNumberFormat="1" applyFont="1" applyBorder="1" applyAlignment="1">
      <alignment horizontal="right" vertical="center"/>
    </xf>
    <xf numFmtId="168" fontId="41" fillId="0" borderId="22" xfId="1" applyNumberFormat="1" applyFont="1" applyBorder="1" applyAlignment="1">
      <alignment horizontal="right" vertical="center"/>
    </xf>
    <xf numFmtId="168" fontId="41" fillId="0" borderId="5" xfId="1" applyNumberFormat="1" applyFont="1" applyBorder="1" applyAlignment="1">
      <alignment horizontal="right" vertical="center"/>
    </xf>
    <xf numFmtId="168" fontId="41" fillId="0" borderId="12" xfId="1" applyNumberFormat="1" applyFont="1" applyBorder="1" applyAlignment="1">
      <alignment horizontal="right" vertical="center"/>
    </xf>
    <xf numFmtId="168" fontId="39" fillId="0" borderId="5" xfId="1" applyNumberFormat="1" applyFont="1" applyBorder="1" applyAlignment="1">
      <alignment horizontal="right" vertical="center"/>
    </xf>
    <xf numFmtId="168" fontId="39" fillId="0" borderId="6" xfId="1" applyNumberFormat="1" applyFont="1" applyBorder="1" applyAlignment="1">
      <alignment horizontal="right" vertical="center"/>
    </xf>
    <xf numFmtId="168" fontId="39" fillId="0" borderId="10" xfId="1" applyNumberFormat="1" applyFont="1" applyBorder="1" applyAlignment="1">
      <alignment horizontal="right" vertical="center"/>
    </xf>
    <xf numFmtId="168" fontId="41" fillId="0" borderId="0" xfId="1" applyNumberFormat="1" applyFont="1" applyBorder="1" applyAlignment="1">
      <alignment horizontal="right" vertical="center"/>
    </xf>
    <xf numFmtId="168" fontId="41" fillId="0" borderId="8" xfId="1" applyNumberFormat="1" applyFont="1" applyBorder="1" applyAlignment="1">
      <alignment horizontal="right" vertical="center"/>
    </xf>
    <xf numFmtId="168" fontId="39" fillId="0" borderId="11" xfId="1" applyNumberFormat="1" applyFont="1" applyFill="1" applyBorder="1" applyAlignment="1">
      <alignment horizontal="right" vertical="center"/>
    </xf>
    <xf numFmtId="168" fontId="41" fillId="0" borderId="22" xfId="1" applyNumberFormat="1" applyFont="1" applyFill="1" applyBorder="1" applyAlignment="1">
      <alignment horizontal="right" vertical="center"/>
    </xf>
    <xf numFmtId="168" fontId="39" fillId="0" borderId="16" xfId="1" applyNumberFormat="1" applyFont="1" applyBorder="1" applyAlignment="1">
      <alignment horizontal="right" vertical="center"/>
    </xf>
    <xf numFmtId="168" fontId="39" fillId="0" borderId="0" xfId="1" applyNumberFormat="1" applyFont="1" applyAlignment="1">
      <alignment horizontal="right" vertical="center"/>
    </xf>
    <xf numFmtId="168" fontId="45" fillId="0" borderId="0" xfId="1" applyNumberFormat="1" applyFont="1" applyAlignment="1">
      <alignment horizontal="right" vertical="center"/>
    </xf>
    <xf numFmtId="168" fontId="46" fillId="0" borderId="0" xfId="1" applyNumberFormat="1" applyFont="1" applyAlignment="1">
      <alignment horizontal="right" vertical="center"/>
    </xf>
    <xf numFmtId="168" fontId="46" fillId="0" borderId="0" xfId="1" applyNumberFormat="1" applyFont="1" applyAlignment="1">
      <alignment horizontal="right"/>
    </xf>
    <xf numFmtId="168" fontId="6" fillId="0" borderId="33" xfId="1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8" fontId="6" fillId="0" borderId="12" xfId="0" applyNumberFormat="1" applyFont="1" applyBorder="1" applyAlignment="1">
      <alignment horizontal="center" vertical="center"/>
    </xf>
    <xf numFmtId="168" fontId="6" fillId="0" borderId="12" xfId="3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4" fontId="6" fillId="0" borderId="12" xfId="3" applyFont="1" applyFill="1" applyBorder="1" applyAlignment="1">
      <alignment horizontal="center" vertical="center"/>
    </xf>
    <xf numFmtId="168" fontId="6" fillId="0" borderId="12" xfId="0" applyNumberFormat="1" applyFont="1" applyBorder="1" applyAlignment="1">
      <alignment vertical="center"/>
    </xf>
    <xf numFmtId="168" fontId="6" fillId="0" borderId="12" xfId="3" applyNumberFormat="1" applyFont="1" applyFill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164" fontId="41" fillId="0" borderId="0" xfId="3" applyFont="1" applyFill="1" applyBorder="1" applyAlignment="1">
      <alignment vertical="center"/>
    </xf>
    <xf numFmtId="49" fontId="41" fillId="0" borderId="0" xfId="0" applyNumberFormat="1" applyFont="1" applyAlignment="1">
      <alignment horizontal="center" vertical="center"/>
    </xf>
    <xf numFmtId="168" fontId="41" fillId="0" borderId="0" xfId="0" applyNumberFormat="1" applyFont="1" applyAlignment="1">
      <alignment vertical="center"/>
    </xf>
    <xf numFmtId="164" fontId="23" fillId="0" borderId="0" xfId="0" applyNumberFormat="1" applyFont="1"/>
    <xf numFmtId="168" fontId="39" fillId="0" borderId="30" xfId="1" applyNumberFormat="1" applyFont="1" applyBorder="1" applyAlignment="1">
      <alignment horizontal="right" vertical="center"/>
    </xf>
    <xf numFmtId="168" fontId="41" fillId="0" borderId="27" xfId="1" applyNumberFormat="1" applyFont="1" applyBorder="1" applyAlignment="1">
      <alignment horizontal="center" vertical="center" wrapText="1"/>
    </xf>
    <xf numFmtId="168" fontId="6" fillId="0" borderId="36" xfId="1" applyNumberFormat="1" applyFont="1" applyBorder="1" applyAlignment="1">
      <alignment horizontal="center" vertical="center" wrapText="1"/>
    </xf>
    <xf numFmtId="168" fontId="6" fillId="0" borderId="47" xfId="1" applyNumberFormat="1" applyFont="1" applyBorder="1" applyAlignment="1">
      <alignment horizontal="right" vertical="center"/>
    </xf>
    <xf numFmtId="0" fontId="10" fillId="0" borderId="35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164" fontId="10" fillId="0" borderId="16" xfId="1" applyFont="1" applyBorder="1"/>
    <xf numFmtId="164" fontId="25" fillId="0" borderId="0" xfId="0" applyNumberFormat="1" applyFont="1"/>
    <xf numFmtId="168" fontId="10" fillId="0" borderId="8" xfId="1" applyNumberFormat="1" applyFont="1" applyBorder="1" applyAlignment="1"/>
    <xf numFmtId="3" fontId="10" fillId="0" borderId="50" xfId="0" applyNumberFormat="1" applyFont="1" applyBorder="1"/>
    <xf numFmtId="3" fontId="6" fillId="0" borderId="50" xfId="0" applyNumberFormat="1" applyFont="1" applyBorder="1"/>
    <xf numFmtId="37" fontId="6" fillId="0" borderId="50" xfId="0" applyNumberFormat="1" applyFont="1" applyBorder="1"/>
    <xf numFmtId="1" fontId="6" fillId="0" borderId="10" xfId="0" applyNumberFormat="1" applyFont="1" applyBorder="1"/>
    <xf numFmtId="37" fontId="10" fillId="0" borderId="50" xfId="0" applyNumberFormat="1" applyFont="1" applyBorder="1"/>
    <xf numFmtId="168" fontId="10" fillId="0" borderId="31" xfId="1" applyNumberFormat="1" applyFont="1" applyBorder="1" applyAlignment="1"/>
    <xf numFmtId="1" fontId="10" fillId="0" borderId="10" xfId="0" applyNumberFormat="1" applyFont="1" applyBorder="1"/>
    <xf numFmtId="37" fontId="10" fillId="0" borderId="11" xfId="0" applyNumberFormat="1" applyFont="1" applyBorder="1"/>
    <xf numFmtId="172" fontId="2" fillId="0" borderId="0" xfId="0" applyNumberFormat="1" applyFont="1"/>
    <xf numFmtId="1" fontId="8" fillId="0" borderId="0" xfId="0" applyNumberFormat="1" applyFont="1" applyAlignment="1">
      <alignment horizontal="center"/>
    </xf>
    <xf numFmtId="1" fontId="35" fillId="0" borderId="0" xfId="0" applyNumberFormat="1" applyFont="1" applyAlignment="1">
      <alignment horizontal="center"/>
    </xf>
    <xf numFmtId="37" fontId="0" fillId="0" borderId="0" xfId="0" applyNumberFormat="1"/>
    <xf numFmtId="164" fontId="10" fillId="0" borderId="10" xfId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3" fontId="0" fillId="0" borderId="0" xfId="0" applyNumberFormat="1"/>
    <xf numFmtId="168" fontId="10" fillId="0" borderId="11" xfId="0" applyNumberFormat="1" applyFont="1" applyBorder="1" applyAlignment="1">
      <alignment horizontal="right" vertical="center"/>
    </xf>
    <xf numFmtId="1" fontId="10" fillId="0" borderId="11" xfId="0" applyNumberFormat="1" applyFont="1" applyBorder="1" applyAlignment="1">
      <alignment horizontal="right"/>
    </xf>
    <xf numFmtId="1" fontId="10" fillId="0" borderId="0" xfId="1" applyNumberFormat="1" applyFont="1" applyBorder="1" applyAlignment="1"/>
    <xf numFmtId="1" fontId="6" fillId="0" borderId="0" xfId="1" applyNumberFormat="1" applyFont="1" applyBorder="1" applyAlignment="1"/>
    <xf numFmtId="168" fontId="10" fillId="0" borderId="5" xfId="1" applyNumberFormat="1" applyFont="1" applyBorder="1" applyAlignment="1">
      <alignment horizontal="right"/>
    </xf>
    <xf numFmtId="168" fontId="10" fillId="0" borderId="8" xfId="1" applyNumberFormat="1" applyFont="1" applyBorder="1" applyAlignment="1">
      <alignment horizontal="right"/>
    </xf>
    <xf numFmtId="168" fontId="3" fillId="0" borderId="11" xfId="1" applyNumberFormat="1" applyFont="1" applyBorder="1"/>
    <xf numFmtId="168" fontId="39" fillId="0" borderId="11" xfId="1" applyNumberFormat="1" applyFont="1" applyBorder="1" applyAlignment="1">
      <alignment horizontal="right"/>
    </xf>
    <xf numFmtId="168" fontId="41" fillId="0" borderId="22" xfId="1" applyNumberFormat="1" applyFont="1" applyBorder="1" applyAlignment="1">
      <alignment horizontal="right"/>
    </xf>
    <xf numFmtId="164" fontId="10" fillId="0" borderId="30" xfId="1" applyFont="1" applyBorder="1"/>
    <xf numFmtId="164" fontId="6" fillId="0" borderId="12" xfId="1" applyFont="1" applyBorder="1" applyAlignment="1">
      <alignment horizontal="center" vertical="center"/>
    </xf>
    <xf numFmtId="168" fontId="0" fillId="0" borderId="0" xfId="0" applyNumberFormat="1"/>
    <xf numFmtId="172" fontId="36" fillId="0" borderId="0" xfId="0" applyNumberFormat="1" applyFont="1"/>
    <xf numFmtId="172" fontId="10" fillId="0" borderId="30" xfId="1" applyNumberFormat="1" applyFont="1" applyBorder="1" applyAlignment="1">
      <alignment horizontal="right" vertical="center"/>
    </xf>
    <xf numFmtId="175" fontId="10" fillId="0" borderId="11" xfId="0" applyNumberFormat="1" applyFont="1" applyBorder="1" applyAlignment="1">
      <alignment vertical="center"/>
    </xf>
    <xf numFmtId="172" fontId="10" fillId="0" borderId="31" xfId="0" applyNumberFormat="1" applyFont="1" applyBorder="1" applyAlignment="1">
      <alignment horizontal="right"/>
    </xf>
    <xf numFmtId="0" fontId="6" fillId="0" borderId="12" xfId="0" applyFont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/>
    </xf>
    <xf numFmtId="14" fontId="6" fillId="0" borderId="11" xfId="0" applyNumberFormat="1" applyFont="1" applyFill="1" applyBorder="1" applyAlignment="1">
      <alignment horizontal="center"/>
    </xf>
    <xf numFmtId="1" fontId="6" fillId="0" borderId="30" xfId="0" applyNumberFormat="1" applyFont="1" applyFill="1" applyBorder="1" applyAlignment="1">
      <alignment horizontal="center"/>
    </xf>
    <xf numFmtId="168" fontId="6" fillId="0" borderId="11" xfId="1" applyNumberFormat="1" applyFont="1" applyFill="1" applyBorder="1" applyAlignment="1"/>
    <xf numFmtId="168" fontId="10" fillId="0" borderId="11" xfId="1" applyNumberFormat="1" applyFont="1" applyFill="1" applyBorder="1" applyAlignment="1"/>
    <xf numFmtId="168" fontId="10" fillId="0" borderId="31" xfId="1" applyNumberFormat="1" applyFont="1" applyFill="1" applyBorder="1" applyAlignment="1"/>
    <xf numFmtId="38" fontId="3" fillId="0" borderId="0" xfId="2" applyNumberFormat="1" applyFont="1" applyFill="1" applyBorder="1" applyAlignment="1">
      <alignment horizontal="center"/>
    </xf>
    <xf numFmtId="168" fontId="10" fillId="0" borderId="11" xfId="1" applyNumberFormat="1" applyFont="1" applyFill="1" applyBorder="1" applyAlignment="1">
      <alignment vertical="center"/>
    </xf>
    <xf numFmtId="168" fontId="10" fillId="0" borderId="30" xfId="1" applyNumberFormat="1" applyFont="1" applyFill="1" applyBorder="1" applyAlignment="1">
      <alignment horizontal="right" vertical="center"/>
    </xf>
    <xf numFmtId="168" fontId="10" fillId="0" borderId="0" xfId="1" applyNumberFormat="1" applyFont="1" applyFill="1" applyBorder="1" applyAlignment="1">
      <alignment horizontal="center" vertical="center"/>
    </xf>
    <xf numFmtId="168" fontId="39" fillId="0" borderId="30" xfId="1" applyNumberFormat="1" applyFont="1" applyFill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/>
    <xf numFmtId="0" fontId="34" fillId="0" borderId="20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64" fontId="41" fillId="0" borderId="0" xfId="3" applyFont="1" applyFill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8" fillId="0" borderId="12" xfId="0" applyFont="1" applyBorder="1" applyAlignment="1">
      <alignment vertical="center"/>
    </xf>
    <xf numFmtId="0" fontId="48" fillId="0" borderId="12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left" vertical="center" wrapText="1"/>
    </xf>
    <xf numFmtId="0" fontId="48" fillId="0" borderId="12" xfId="0" applyFont="1" applyBorder="1" applyAlignment="1">
      <alignment vertical="center" wrapText="1"/>
    </xf>
    <xf numFmtId="164" fontId="34" fillId="0" borderId="0" xfId="3" applyFont="1" applyFill="1" applyBorder="1"/>
    <xf numFmtId="168" fontId="34" fillId="0" borderId="0" xfId="0" applyNumberFormat="1" applyFont="1"/>
    <xf numFmtId="0" fontId="34" fillId="0" borderId="53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168" fontId="34" fillId="0" borderId="22" xfId="0" applyNumberFormat="1" applyFont="1" applyBorder="1" applyAlignment="1">
      <alignment vertical="center"/>
    </xf>
    <xf numFmtId="49" fontId="34" fillId="0" borderId="22" xfId="0" applyNumberFormat="1" applyFont="1" applyBorder="1" applyAlignment="1">
      <alignment horizontal="center" vertical="center"/>
    </xf>
    <xf numFmtId="164" fontId="34" fillId="0" borderId="22" xfId="0" applyNumberFormat="1" applyFont="1" applyBorder="1" applyAlignment="1">
      <alignment vertical="center"/>
    </xf>
    <xf numFmtId="168" fontId="34" fillId="0" borderId="24" xfId="0" applyNumberFormat="1" applyFont="1" applyBorder="1" applyAlignment="1">
      <alignment vertical="center"/>
    </xf>
    <xf numFmtId="164" fontId="6" fillId="0" borderId="19" xfId="1" applyFont="1" applyBorder="1" applyAlignment="1">
      <alignment horizontal="center" vertical="center"/>
    </xf>
    <xf numFmtId="164" fontId="20" fillId="0" borderId="19" xfId="1" applyFont="1" applyBorder="1" applyAlignment="1">
      <alignment vertical="center"/>
    </xf>
    <xf numFmtId="0" fontId="10" fillId="0" borderId="53" xfId="0" applyFont="1" applyBorder="1" applyAlignment="1">
      <alignment horizontal="center" vertical="center"/>
    </xf>
    <xf numFmtId="164" fontId="6" fillId="0" borderId="22" xfId="0" applyNumberFormat="1" applyFont="1" applyBorder="1"/>
    <xf numFmtId="0" fontId="25" fillId="0" borderId="22" xfId="0" applyFont="1" applyBorder="1"/>
    <xf numFmtId="164" fontId="6" fillId="0" borderId="24" xfId="0" applyNumberFormat="1" applyFont="1" applyBorder="1"/>
    <xf numFmtId="0" fontId="10" fillId="0" borderId="23" xfId="0" applyFont="1" applyBorder="1" applyAlignment="1">
      <alignment horizontal="center" vertical="center"/>
    </xf>
    <xf numFmtId="0" fontId="25" fillId="0" borderId="20" xfId="0" applyFont="1" applyBorder="1"/>
    <xf numFmtId="0" fontId="25" fillId="0" borderId="21" xfId="0" applyFont="1" applyBorder="1"/>
    <xf numFmtId="164" fontId="20" fillId="0" borderId="54" xfId="1" applyFont="1" applyBorder="1" applyAlignment="1">
      <alignment vertical="center"/>
    </xf>
    <xf numFmtId="164" fontId="20" fillId="0" borderId="22" xfId="1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3" fontId="10" fillId="0" borderId="22" xfId="0" applyNumberFormat="1" applyFont="1" applyBorder="1" applyAlignment="1">
      <alignment horizontal="center" vertical="center"/>
    </xf>
    <xf numFmtId="164" fontId="20" fillId="0" borderId="24" xfId="1" applyFont="1" applyBorder="1" applyAlignment="1">
      <alignment vertical="center"/>
    </xf>
    <xf numFmtId="164" fontId="35" fillId="0" borderId="0" xfId="3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4" fontId="3" fillId="0" borderId="0" xfId="3" applyFont="1" applyBorder="1" applyAlignment="1">
      <alignment vertical="center"/>
    </xf>
    <xf numFmtId="3" fontId="3" fillId="0" borderId="0" xfId="0" applyNumberFormat="1" applyFont="1" applyAlignment="1">
      <alignment horizontal="left" vertical="center"/>
    </xf>
    <xf numFmtId="0" fontId="10" fillId="0" borderId="0" xfId="0" applyFont="1" applyBorder="1"/>
    <xf numFmtId="1" fontId="10" fillId="0" borderId="0" xfId="0" applyNumberFormat="1" applyFont="1" applyBorder="1"/>
    <xf numFmtId="168" fontId="39" fillId="0" borderId="30" xfId="1" applyNumberFormat="1" applyFont="1" applyBorder="1" applyAlignment="1">
      <alignment horizontal="right"/>
    </xf>
    <xf numFmtId="2" fontId="10" fillId="0" borderId="0" xfId="0" applyNumberFormat="1" applyFont="1" applyBorder="1"/>
    <xf numFmtId="38" fontId="10" fillId="0" borderId="0" xfId="0" applyNumberFormat="1" applyFont="1" applyBorder="1"/>
    <xf numFmtId="0" fontId="3" fillId="0" borderId="0" xfId="0" applyFont="1" applyBorder="1"/>
    <xf numFmtId="1" fontId="3" fillId="0" borderId="0" xfId="0" applyNumberFormat="1" applyFont="1" applyBorder="1"/>
    <xf numFmtId="168" fontId="10" fillId="0" borderId="30" xfId="1" applyNumberFormat="1" applyFont="1" applyFill="1" applyBorder="1" applyAlignment="1"/>
    <xf numFmtId="38" fontId="3" fillId="0" borderId="0" xfId="0" applyNumberFormat="1" applyFont="1" applyBorder="1"/>
    <xf numFmtId="37" fontId="10" fillId="0" borderId="0" xfId="0" applyNumberFormat="1" applyFont="1" applyBorder="1"/>
    <xf numFmtId="1" fontId="6" fillId="0" borderId="0" xfId="0" applyNumberFormat="1" applyFont="1" applyBorder="1"/>
    <xf numFmtId="3" fontId="10" fillId="0" borderId="0" xfId="0" applyNumberFormat="1" applyFont="1" applyBorder="1"/>
    <xf numFmtId="1" fontId="10" fillId="0" borderId="0" xfId="0" applyNumberFormat="1" applyFont="1" applyBorder="1" applyAlignment="1">
      <alignment vertical="center"/>
    </xf>
    <xf numFmtId="0" fontId="10" fillId="0" borderId="19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168" fontId="41" fillId="0" borderId="24" xfId="1" applyNumberFormat="1" applyFont="1" applyBorder="1" applyAlignment="1">
      <alignment horizontal="right" vertical="center"/>
    </xf>
    <xf numFmtId="2" fontId="10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68" fontId="39" fillId="0" borderId="33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/>
    <xf numFmtId="1" fontId="5" fillId="0" borderId="0" xfId="0" applyNumberFormat="1" applyFont="1" applyBorder="1"/>
    <xf numFmtId="3" fontId="6" fillId="0" borderId="27" xfId="0" applyNumberFormat="1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right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3" fontId="6" fillId="0" borderId="47" xfId="0" applyNumberFormat="1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/>
    </xf>
    <xf numFmtId="0" fontId="6" fillId="0" borderId="29" xfId="0" applyFont="1" applyBorder="1" applyAlignment="1">
      <alignment horizontal="left" vertical="center"/>
    </xf>
    <xf numFmtId="3" fontId="10" fillId="0" borderId="31" xfId="0" applyNumberFormat="1" applyFont="1" applyBorder="1" applyAlignment="1">
      <alignment horizontal="right" vertical="center"/>
    </xf>
    <xf numFmtId="168" fontId="10" fillId="0" borderId="29" xfId="1" applyNumberFormat="1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31" fillId="0" borderId="29" xfId="1" applyNumberFormat="1" applyFont="1" applyBorder="1" applyAlignment="1">
      <alignment vertical="center" wrapText="1"/>
    </xf>
    <xf numFmtId="168" fontId="10" fillId="0" borderId="35" xfId="1" applyNumberFormat="1" applyFont="1" applyBorder="1" applyAlignment="1">
      <alignment vertical="center"/>
    </xf>
    <xf numFmtId="168" fontId="10" fillId="0" borderId="15" xfId="1" applyNumberFormat="1" applyFont="1" applyBorder="1" applyAlignment="1">
      <alignment vertical="center"/>
    </xf>
    <xf numFmtId="168" fontId="6" fillId="0" borderId="27" xfId="1" applyNumberFormat="1" applyFont="1" applyBorder="1" applyAlignment="1">
      <alignment horizontal="center" vertical="center" wrapText="1"/>
    </xf>
    <xf numFmtId="168" fontId="6" fillId="0" borderId="27" xfId="1" applyNumberFormat="1" applyFont="1" applyBorder="1" applyAlignment="1">
      <alignment horizontal="right" vertical="center"/>
    </xf>
    <xf numFmtId="168" fontId="6" fillId="0" borderId="28" xfId="1" applyNumberFormat="1" applyFont="1" applyBorder="1" applyAlignment="1">
      <alignment horizontal="center" vertical="center" wrapText="1"/>
    </xf>
    <xf numFmtId="168" fontId="6" fillId="0" borderId="24" xfId="1" applyNumberFormat="1" applyFont="1" applyFill="1" applyBorder="1" applyAlignment="1">
      <alignment horizontal="right" vertical="center"/>
    </xf>
    <xf numFmtId="168" fontId="10" fillId="0" borderId="52" xfId="1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" fontId="6" fillId="0" borderId="0" xfId="2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71" fontId="8" fillId="0" borderId="0" xfId="0" applyNumberFormat="1" applyFont="1" applyAlignment="1">
      <alignment horizontal="center"/>
    </xf>
    <xf numFmtId="1" fontId="3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4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68" fontId="6" fillId="0" borderId="25" xfId="1" applyNumberFormat="1" applyFont="1" applyBorder="1" applyAlignment="1">
      <alignment horizontal="center" vertical="center"/>
    </xf>
    <xf numFmtId="168" fontId="6" fillId="0" borderId="44" xfId="1" applyNumberFormat="1" applyFont="1" applyBorder="1" applyAlignment="1">
      <alignment horizontal="center" vertical="center"/>
    </xf>
    <xf numFmtId="168" fontId="6" fillId="0" borderId="29" xfId="1" applyNumberFormat="1" applyFont="1" applyBorder="1" applyAlignment="1">
      <alignment horizontal="center" vertical="center"/>
    </xf>
    <xf numFmtId="168" fontId="6" fillId="0" borderId="5" xfId="1" applyNumberFormat="1" applyFont="1" applyBorder="1" applyAlignment="1">
      <alignment horizontal="center" vertical="center"/>
    </xf>
    <xf numFmtId="168" fontId="6" fillId="0" borderId="34" xfId="1" applyNumberFormat="1" applyFont="1" applyBorder="1" applyAlignment="1">
      <alignment horizontal="center" vertical="center"/>
    </xf>
    <xf numFmtId="168" fontId="6" fillId="0" borderId="7" xfId="1" applyNumberFormat="1" applyFont="1" applyBorder="1" applyAlignment="1">
      <alignment horizontal="center" vertical="center"/>
    </xf>
    <xf numFmtId="164" fontId="41" fillId="0" borderId="0" xfId="3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/>
    <xf numFmtId="1" fontId="6" fillId="0" borderId="32" xfId="0" applyNumberFormat="1" applyFont="1" applyBorder="1" applyAlignment="1">
      <alignment horizontal="left"/>
    </xf>
    <xf numFmtId="1" fontId="6" fillId="0" borderId="9" xfId="0" applyNumberFormat="1" applyFont="1" applyBorder="1" applyAlignment="1">
      <alignment horizontal="left"/>
    </xf>
    <xf numFmtId="1" fontId="6" fillId="0" borderId="49" xfId="0" applyNumberFormat="1" applyFont="1" applyBorder="1" applyAlignment="1">
      <alignment horizontal="left"/>
    </xf>
    <xf numFmtId="1" fontId="6" fillId="0" borderId="50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left" vertical="center"/>
    </xf>
    <xf numFmtId="1" fontId="6" fillId="0" borderId="5" xfId="0" applyNumberFormat="1" applyFont="1" applyBorder="1" applyAlignment="1">
      <alignment horizontal="left" vertical="center"/>
    </xf>
    <xf numFmtId="0" fontId="3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6" fillId="0" borderId="4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170" fontId="25" fillId="0" borderId="0" xfId="0" applyNumberFormat="1" applyFont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19" fillId="0" borderId="0" xfId="0" applyFont="1" applyAlignment="1">
      <alignment horizontal="right" vertical="top" wrapText="1"/>
    </xf>
    <xf numFmtId="0" fontId="4" fillId="0" borderId="0" xfId="0" applyFont="1" applyAlignment="1">
      <alignment horizontal="left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" fontId="6" fillId="0" borderId="29" xfId="0" applyNumberFormat="1" applyFont="1" applyBorder="1" applyAlignment="1">
      <alignment horizontal="left"/>
    </xf>
    <xf numFmtId="1" fontId="6" fillId="0" borderId="5" xfId="0" applyNumberFormat="1" applyFont="1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1" fontId="6" fillId="0" borderId="51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left"/>
    </xf>
    <xf numFmtId="168" fontId="10" fillId="0" borderId="31" xfId="1" applyNumberFormat="1" applyFont="1" applyBorder="1" applyAlignment="1">
      <alignment horizontal="right"/>
    </xf>
  </cellXfs>
  <cellStyles count="7">
    <cellStyle name="Comma" xfId="1" builtinId="3"/>
    <cellStyle name="Comma 2" xfId="2"/>
    <cellStyle name="Comma 3" xfId="3"/>
    <cellStyle name="Normal" xfId="0" builtinId="0"/>
    <cellStyle name="Normal 2" xfId="5"/>
    <cellStyle name="Normal 26" xfId="4"/>
    <cellStyle name="Normal 4" xfId="6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Chandu\LOCALS~1\Temp\profarma\Copy%20of%20Gramorganics_2006-07_final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ndra\office%20(e)\GRAM%20ORGANICS%20PRIVATE%20LIMITED\GRAM-2004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BS Schedule"/>
      <sheetName val="PL"/>
      <sheetName val="PL Schedule"/>
      <sheetName val="Stocks"/>
      <sheetName val="DEP"/>
      <sheetName val="Dep It"/>
      <sheetName val="DEFERREDTAX"/>
      <sheetName val="FBT"/>
      <sheetName val="Debtors"/>
      <sheetName val="Sheet1"/>
      <sheetName val="Notes"/>
      <sheetName val="List of Share Holders"/>
      <sheetName val="269ss"/>
      <sheetName val="Sheet8"/>
      <sheetName val="Tally Corrections"/>
      <sheetName val="Sheet2"/>
    </sheetNames>
    <sheetDataSet>
      <sheetData sheetId="0"/>
      <sheetData sheetId="1"/>
      <sheetData sheetId="2"/>
      <sheetData sheetId="3">
        <row r="14">
          <cell r="C14">
            <v>1646000</v>
          </cell>
          <cell r="E14">
            <v>6187524</v>
          </cell>
        </row>
        <row r="20">
          <cell r="C20">
            <v>-5020</v>
          </cell>
          <cell r="E20">
            <v>5640</v>
          </cell>
        </row>
        <row r="39">
          <cell r="C39">
            <v>509216</v>
          </cell>
          <cell r="E39">
            <v>2504582</v>
          </cell>
        </row>
        <row r="73">
          <cell r="C73">
            <v>685771</v>
          </cell>
          <cell r="E73">
            <v>2566291</v>
          </cell>
        </row>
        <row r="81">
          <cell r="C81">
            <v>873647.87000000011</v>
          </cell>
          <cell r="E81">
            <v>665394</v>
          </cell>
        </row>
      </sheetData>
      <sheetData sheetId="4"/>
      <sheetData sheetId="5">
        <row r="21">
          <cell r="H21">
            <v>430050.17659863015</v>
          </cell>
        </row>
        <row r="23">
          <cell r="H23">
            <v>261411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 (2)"/>
      <sheetName val="BS (2)"/>
      <sheetName val="PL (2)"/>
      <sheetName val="SCH (2)"/>
      <sheetName val="DEP (2)"/>
      <sheetName val="BS"/>
      <sheetName val="PL"/>
      <sheetName val="SCH"/>
      <sheetName val="DEP"/>
      <sheetName val="stocks"/>
      <sheetName val="D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7">
          <cell r="B47">
            <v>624</v>
          </cell>
        </row>
        <row r="49">
          <cell r="B49">
            <v>3000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85"/>
  <sheetViews>
    <sheetView topLeftCell="A16" workbookViewId="0">
      <selection activeCell="A50" sqref="A50"/>
    </sheetView>
  </sheetViews>
  <sheetFormatPr defaultColWidth="9.140625" defaultRowHeight="12.75" x14ac:dyDescent="0.2"/>
  <cols>
    <col min="1" max="1" width="43.85546875" style="1" customWidth="1"/>
    <col min="2" max="2" width="10.140625" style="1" customWidth="1"/>
    <col min="3" max="3" width="14.28515625" style="1" customWidth="1"/>
    <col min="4" max="4" width="19" style="1" customWidth="1"/>
    <col min="5" max="5" width="22" style="1" customWidth="1"/>
    <col min="6" max="7" width="9.140625" style="1"/>
    <col min="8" max="9" width="12.5703125" style="1" bestFit="1" customWidth="1"/>
    <col min="10" max="10" width="9.28515625" style="1" bestFit="1" customWidth="1"/>
    <col min="11" max="11" width="12.85546875" style="1" bestFit="1" customWidth="1"/>
    <col min="12" max="16384" width="9.140625" style="1"/>
  </cols>
  <sheetData>
    <row r="1" spans="1:11" ht="15.75" customHeight="1" x14ac:dyDescent="0.2">
      <c r="A1" s="749" t="str">
        <f>'COMB - PL'!A1:E1</f>
        <v>GAYATRI VIDYA PARISHAD COLLEGE FOR DEGREE AND P.G. COURSES (AUTONOMOUS)</v>
      </c>
      <c r="B1" s="749"/>
      <c r="C1" s="749"/>
      <c r="D1" s="749"/>
      <c r="E1" s="749"/>
    </row>
    <row r="2" spans="1:11" ht="15.75" customHeight="1" x14ac:dyDescent="0.2">
      <c r="A2" s="749" t="s">
        <v>630</v>
      </c>
      <c r="B2" s="749"/>
      <c r="C2" s="749"/>
      <c r="D2" s="749"/>
      <c r="E2" s="749"/>
    </row>
    <row r="3" spans="1:11" ht="15" customHeight="1" thickBot="1" x14ac:dyDescent="0.25">
      <c r="A3" s="749" t="s">
        <v>662</v>
      </c>
      <c r="B3" s="749"/>
      <c r="C3" s="749"/>
      <c r="D3" s="749"/>
      <c r="E3" s="749"/>
    </row>
    <row r="4" spans="1:11" ht="15.75" x14ac:dyDescent="0.2">
      <c r="A4" s="753" t="s">
        <v>422</v>
      </c>
      <c r="B4" s="754"/>
      <c r="C4" s="750" t="s">
        <v>1</v>
      </c>
      <c r="D4" s="470" t="s">
        <v>2</v>
      </c>
      <c r="E4" s="445" t="s">
        <v>2</v>
      </c>
    </row>
    <row r="5" spans="1:11" ht="15.75" x14ac:dyDescent="0.2">
      <c r="A5" s="755"/>
      <c r="B5" s="756"/>
      <c r="C5" s="751"/>
      <c r="D5" s="354" t="str">
        <f>+'MBA PL '!C7</f>
        <v>31.03.2025</v>
      </c>
      <c r="E5" s="446" t="str">
        <f>+'MBA PL '!E7</f>
        <v>31.03.2024</v>
      </c>
    </row>
    <row r="6" spans="1:11" ht="15.75" x14ac:dyDescent="0.2">
      <c r="A6" s="757"/>
      <c r="B6" s="758"/>
      <c r="C6" s="752"/>
      <c r="D6" s="447" t="s">
        <v>494</v>
      </c>
      <c r="E6" s="448" t="s">
        <v>495</v>
      </c>
    </row>
    <row r="7" spans="1:11" ht="15.75" x14ac:dyDescent="0.2">
      <c r="A7" s="356"/>
      <c r="B7" s="449"/>
      <c r="C7" s="342"/>
      <c r="D7" s="367"/>
      <c r="E7" s="364"/>
    </row>
    <row r="8" spans="1:11" ht="15.75" x14ac:dyDescent="0.2">
      <c r="A8" s="450" t="s">
        <v>4</v>
      </c>
      <c r="B8" s="449"/>
      <c r="C8" s="342"/>
      <c r="D8" s="451"/>
      <c r="E8" s="372"/>
    </row>
    <row r="9" spans="1:11" ht="15.75" x14ac:dyDescent="0.2">
      <c r="A9" s="450"/>
      <c r="B9" s="449"/>
      <c r="C9" s="342"/>
      <c r="D9" s="451"/>
      <c r="E9" s="372"/>
    </row>
    <row r="10" spans="1:11" ht="15.75" x14ac:dyDescent="0.2">
      <c r="A10" s="357" t="s">
        <v>137</v>
      </c>
      <c r="B10" s="360" t="s">
        <v>0</v>
      </c>
      <c r="C10" s="365">
        <v>1</v>
      </c>
      <c r="D10" s="452">
        <f>'COMB - SCHEDULES'!D11</f>
        <v>56161874</v>
      </c>
      <c r="E10" s="453">
        <f>'COMB - SCHEDULES'!F11</f>
        <v>47792228.539999999</v>
      </c>
      <c r="H10" s="1">
        <v>56161874</v>
      </c>
      <c r="I10" s="1">
        <v>47792228.539999999</v>
      </c>
      <c r="J10" s="624">
        <f>D10-H10</f>
        <v>0</v>
      </c>
      <c r="K10" s="624">
        <f>E10-I10</f>
        <v>0</v>
      </c>
    </row>
    <row r="11" spans="1:11" ht="15.75" customHeight="1" x14ac:dyDescent="0.2">
      <c r="A11" s="357"/>
      <c r="B11" s="360"/>
      <c r="C11" s="365"/>
      <c r="D11" s="454"/>
      <c r="E11" s="455"/>
      <c r="J11" s="624">
        <f t="shared" ref="J11:J31" si="0">D11-H11</f>
        <v>0</v>
      </c>
      <c r="K11" s="624">
        <f t="shared" ref="K11:K31" si="1">E11-I11</f>
        <v>0</v>
      </c>
    </row>
    <row r="12" spans="1:11" ht="15.75" x14ac:dyDescent="0.2">
      <c r="A12" s="357" t="s">
        <v>643</v>
      </c>
      <c r="B12" s="360"/>
      <c r="C12" s="365">
        <v>2</v>
      </c>
      <c r="D12" s="631">
        <f>'COMB - SCHEDULES'!D14</f>
        <v>-10679103.590000004</v>
      </c>
      <c r="E12" s="644">
        <f>'COMB - SCHEDULES'!F14</f>
        <v>8369645.7700000051</v>
      </c>
      <c r="H12" s="1">
        <v>-10679104.273500007</v>
      </c>
      <c r="I12" s="1">
        <v>8369644.7700000051</v>
      </c>
      <c r="J12" s="624">
        <f t="shared" si="0"/>
        <v>0.68350000306963921</v>
      </c>
      <c r="K12" s="624">
        <f t="shared" si="1"/>
        <v>1</v>
      </c>
    </row>
    <row r="13" spans="1:11" ht="15.75" x14ac:dyDescent="0.2">
      <c r="A13" s="357"/>
      <c r="B13" s="360"/>
      <c r="C13" s="365"/>
      <c r="D13" s="454"/>
      <c r="E13" s="455"/>
      <c r="J13" s="624">
        <f t="shared" si="0"/>
        <v>0</v>
      </c>
      <c r="K13" s="624">
        <f t="shared" si="1"/>
        <v>0</v>
      </c>
    </row>
    <row r="14" spans="1:11" ht="15.75" x14ac:dyDescent="0.2">
      <c r="A14" s="357" t="s">
        <v>470</v>
      </c>
      <c r="B14" s="360"/>
      <c r="C14" s="365">
        <v>3</v>
      </c>
      <c r="D14" s="452">
        <f>'COMB - SCHEDULES'!D18</f>
        <v>0</v>
      </c>
      <c r="E14" s="453">
        <f>'COMB - SCHEDULES'!F18</f>
        <v>0</v>
      </c>
      <c r="J14" s="624">
        <f t="shared" si="0"/>
        <v>0</v>
      </c>
      <c r="K14" s="624">
        <f t="shared" si="1"/>
        <v>0</v>
      </c>
    </row>
    <row r="15" spans="1:11" ht="15.75" x14ac:dyDescent="0.2">
      <c r="A15" s="357"/>
      <c r="B15" s="360"/>
      <c r="C15" s="365"/>
      <c r="D15" s="452"/>
      <c r="E15" s="453"/>
      <c r="J15" s="624">
        <f t="shared" si="0"/>
        <v>0</v>
      </c>
      <c r="K15" s="624">
        <f t="shared" si="1"/>
        <v>0</v>
      </c>
    </row>
    <row r="16" spans="1:11" ht="15.75" x14ac:dyDescent="0.2">
      <c r="A16" s="357" t="s">
        <v>471</v>
      </c>
      <c r="B16" s="360"/>
      <c r="C16" s="365">
        <v>4</v>
      </c>
      <c r="D16" s="452">
        <f>'COMB - SCHEDULES'!D23</f>
        <v>0</v>
      </c>
      <c r="E16" s="453">
        <f>'COMB - SCHEDULES'!F23</f>
        <v>0</v>
      </c>
      <c r="J16" s="624">
        <f t="shared" si="0"/>
        <v>0</v>
      </c>
      <c r="K16" s="624">
        <f t="shared" si="1"/>
        <v>0</v>
      </c>
    </row>
    <row r="17" spans="1:11" ht="15.75" x14ac:dyDescent="0.2">
      <c r="A17" s="357"/>
      <c r="B17" s="360"/>
      <c r="C17" s="365"/>
      <c r="D17" s="452"/>
      <c r="E17" s="453"/>
      <c r="J17" s="624">
        <f t="shared" si="0"/>
        <v>0</v>
      </c>
      <c r="K17" s="624">
        <f t="shared" si="1"/>
        <v>0</v>
      </c>
    </row>
    <row r="18" spans="1:11" ht="15.75" x14ac:dyDescent="0.2">
      <c r="A18" s="357" t="s">
        <v>472</v>
      </c>
      <c r="B18" s="360"/>
      <c r="C18" s="365">
        <v>5</v>
      </c>
      <c r="D18" s="452">
        <f>'COMB - SCHEDULES'!D30</f>
        <v>124933940.5</v>
      </c>
      <c r="E18" s="453">
        <f>'COMB - SCHEDULES'!F30</f>
        <v>121297877</v>
      </c>
      <c r="H18" s="1">
        <v>123796491.5</v>
      </c>
      <c r="I18" s="1">
        <v>121297877</v>
      </c>
      <c r="J18" s="624">
        <f t="shared" si="0"/>
        <v>1137449</v>
      </c>
      <c r="K18" s="624">
        <f t="shared" si="1"/>
        <v>0</v>
      </c>
    </row>
    <row r="19" spans="1:11" ht="15.75" x14ac:dyDescent="0.2">
      <c r="A19" s="456"/>
      <c r="B19" s="360"/>
      <c r="C19" s="365"/>
      <c r="D19" s="452"/>
      <c r="E19" s="453"/>
      <c r="J19" s="624">
        <f t="shared" si="0"/>
        <v>0</v>
      </c>
      <c r="K19" s="624">
        <f t="shared" si="1"/>
        <v>0</v>
      </c>
    </row>
    <row r="20" spans="1:11" ht="16.5" thickBot="1" x14ac:dyDescent="0.25">
      <c r="A20" s="457" t="s">
        <v>54</v>
      </c>
      <c r="B20" s="458"/>
      <c r="C20" s="464"/>
      <c r="D20" s="459">
        <f>SUM(D10:D18)</f>
        <v>170416710.91</v>
      </c>
      <c r="E20" s="460">
        <f>SUM(E10:E18)</f>
        <v>177459751.31</v>
      </c>
      <c r="H20" s="1">
        <v>169279261.2265</v>
      </c>
      <c r="I20" s="1">
        <v>177459750.31</v>
      </c>
      <c r="J20" s="624">
        <f t="shared" si="0"/>
        <v>1137449.6834999919</v>
      </c>
      <c r="K20" s="624">
        <f t="shared" si="1"/>
        <v>1</v>
      </c>
    </row>
    <row r="21" spans="1:11" ht="15.75" x14ac:dyDescent="0.2">
      <c r="A21" s="359"/>
      <c r="B21" s="360"/>
      <c r="C21" s="365"/>
      <c r="D21" s="452"/>
      <c r="E21" s="453"/>
      <c r="J21" s="624">
        <f t="shared" si="0"/>
        <v>0</v>
      </c>
      <c r="K21" s="624">
        <f t="shared" si="1"/>
        <v>0</v>
      </c>
    </row>
    <row r="22" spans="1:11" ht="15.75" x14ac:dyDescent="0.2">
      <c r="A22" s="456" t="s">
        <v>5</v>
      </c>
      <c r="B22" s="360"/>
      <c r="C22" s="365"/>
      <c r="D22" s="452"/>
      <c r="E22" s="455"/>
      <c r="J22" s="624">
        <f t="shared" si="0"/>
        <v>0</v>
      </c>
      <c r="K22" s="624">
        <f t="shared" si="1"/>
        <v>0</v>
      </c>
    </row>
    <row r="23" spans="1:11" ht="12" customHeight="1" x14ac:dyDescent="0.2">
      <c r="A23" s="357"/>
      <c r="B23" s="360"/>
      <c r="C23" s="365"/>
      <c r="D23" s="452"/>
      <c r="E23" s="455"/>
      <c r="J23" s="624">
        <f t="shared" si="0"/>
        <v>0</v>
      </c>
      <c r="K23" s="624">
        <f t="shared" si="1"/>
        <v>0</v>
      </c>
    </row>
    <row r="24" spans="1:11" ht="15.75" x14ac:dyDescent="0.2">
      <c r="A24" s="357" t="s">
        <v>473</v>
      </c>
      <c r="B24" s="360"/>
      <c r="C24" s="365">
        <v>6</v>
      </c>
      <c r="D24" s="452">
        <f>'COMB - SCHEDULES'!D34</f>
        <v>23627389.890000001</v>
      </c>
      <c r="E24" s="455">
        <f>'COMB - SCHEDULES'!F34</f>
        <v>25661059.890000001</v>
      </c>
      <c r="H24" s="1">
        <v>23627390.206500001</v>
      </c>
      <c r="I24" s="1">
        <v>25661059.890000001</v>
      </c>
      <c r="J24" s="624">
        <f t="shared" si="0"/>
        <v>-0.31650000065565109</v>
      </c>
      <c r="K24" s="624">
        <f t="shared" si="1"/>
        <v>0</v>
      </c>
    </row>
    <row r="25" spans="1:11" ht="15.75" x14ac:dyDescent="0.2">
      <c r="A25" s="357"/>
      <c r="B25" s="361"/>
      <c r="C25" s="365"/>
      <c r="D25" s="452"/>
      <c r="E25" s="453"/>
      <c r="J25" s="624">
        <f t="shared" si="0"/>
        <v>0</v>
      </c>
      <c r="K25" s="624">
        <f t="shared" si="1"/>
        <v>0</v>
      </c>
    </row>
    <row r="26" spans="1:11" ht="15.75" x14ac:dyDescent="0.2">
      <c r="A26" s="357" t="s">
        <v>474</v>
      </c>
      <c r="B26" s="361"/>
      <c r="C26" s="365">
        <v>7</v>
      </c>
      <c r="D26" s="452">
        <f>'COMB - SCHEDULES'!D39</f>
        <v>8200009</v>
      </c>
      <c r="E26" s="453">
        <f>'COMB - SCHEDULES'!F39</f>
        <v>7982527</v>
      </c>
      <c r="H26" s="1">
        <v>8200009</v>
      </c>
      <c r="I26" s="1">
        <v>7982527</v>
      </c>
      <c r="J26" s="624">
        <f t="shared" si="0"/>
        <v>0</v>
      </c>
      <c r="K26" s="624">
        <f t="shared" si="1"/>
        <v>0</v>
      </c>
    </row>
    <row r="27" spans="1:11" ht="15.75" x14ac:dyDescent="0.2">
      <c r="A27" s="357"/>
      <c r="B27" s="361"/>
      <c r="C27" s="365"/>
      <c r="D27" s="452"/>
      <c r="E27" s="455"/>
      <c r="J27" s="624">
        <f t="shared" si="0"/>
        <v>0</v>
      </c>
      <c r="K27" s="624">
        <f t="shared" si="1"/>
        <v>0</v>
      </c>
    </row>
    <row r="28" spans="1:11" ht="15.75" x14ac:dyDescent="0.2">
      <c r="A28" s="357" t="s">
        <v>590</v>
      </c>
      <c r="B28" s="361"/>
      <c r="C28" s="365">
        <v>8</v>
      </c>
      <c r="D28" s="452">
        <f>'COMB - SCHEDULES'!D45</f>
        <v>134489497.08000001</v>
      </c>
      <c r="E28" s="455">
        <f>'COMB - SCHEDULES'!F45</f>
        <v>126286593</v>
      </c>
      <c r="H28" s="1">
        <v>133352048.08000001</v>
      </c>
      <c r="I28" s="1">
        <v>126286593</v>
      </c>
      <c r="J28" s="624">
        <f t="shared" si="0"/>
        <v>1137449</v>
      </c>
      <c r="K28" s="624">
        <f t="shared" si="1"/>
        <v>0</v>
      </c>
    </row>
    <row r="29" spans="1:11" ht="15.75" x14ac:dyDescent="0.2">
      <c r="A29" s="359"/>
      <c r="B29" s="361"/>
      <c r="C29" s="365"/>
      <c r="D29" s="452"/>
      <c r="E29" s="453"/>
      <c r="J29" s="624">
        <f t="shared" si="0"/>
        <v>0</v>
      </c>
      <c r="K29" s="624">
        <f t="shared" si="1"/>
        <v>0</v>
      </c>
    </row>
    <row r="30" spans="1:11" ht="15.75" x14ac:dyDescent="0.2">
      <c r="A30" s="357" t="s">
        <v>475</v>
      </c>
      <c r="B30" s="361"/>
      <c r="C30" s="365">
        <v>9</v>
      </c>
      <c r="D30" s="452">
        <f>'COMB - SCHEDULES'!D50</f>
        <v>4099814.98</v>
      </c>
      <c r="E30" s="455">
        <f>'COMB - SCHEDULES'!F50</f>
        <v>17529571.57</v>
      </c>
      <c r="H30" s="624">
        <v>4099814.98</v>
      </c>
      <c r="I30" s="1">
        <v>17529571.25</v>
      </c>
      <c r="J30" s="624">
        <f t="shared" si="0"/>
        <v>0</v>
      </c>
      <c r="K30" s="624">
        <f t="shared" si="1"/>
        <v>0.32000000029802322</v>
      </c>
    </row>
    <row r="31" spans="1:11" ht="15.75" x14ac:dyDescent="0.2">
      <c r="A31" s="456"/>
      <c r="B31" s="361"/>
      <c r="C31" s="365"/>
      <c r="D31" s="645"/>
      <c r="E31" s="455"/>
      <c r="J31" s="624">
        <f t="shared" si="0"/>
        <v>0</v>
      </c>
      <c r="K31" s="624">
        <f t="shared" si="1"/>
        <v>0</v>
      </c>
    </row>
    <row r="32" spans="1:11" ht="16.5" thickBot="1" x14ac:dyDescent="0.25">
      <c r="A32" s="540" t="s">
        <v>54</v>
      </c>
      <c r="B32" s="541"/>
      <c r="C32" s="542"/>
      <c r="D32" s="459">
        <f>SUM(D24:D30)</f>
        <v>170416710.95000002</v>
      </c>
      <c r="E32" s="460">
        <f>SUM(E24:E30)</f>
        <v>177459751.45999998</v>
      </c>
      <c r="H32" s="214">
        <v>169279262.26650003</v>
      </c>
      <c r="I32" s="214">
        <v>177459751.13999999</v>
      </c>
    </row>
    <row r="33" spans="1:9" ht="15.75" x14ac:dyDescent="0.2">
      <c r="A33" s="358"/>
      <c r="B33" s="362"/>
      <c r="C33" s="461"/>
      <c r="D33" s="358"/>
      <c r="E33" s="362"/>
      <c r="H33" s="214"/>
      <c r="I33" s="214"/>
    </row>
    <row r="34" spans="1:9" s="214" customFormat="1" ht="15.75" x14ac:dyDescent="0.2">
      <c r="A34" s="289" t="s">
        <v>589</v>
      </c>
      <c r="B34" s="362"/>
      <c r="C34" s="461"/>
      <c r="D34" s="358"/>
      <c r="E34" s="362"/>
    </row>
    <row r="35" spans="1:9" s="214" customFormat="1" ht="14.25" x14ac:dyDescent="0.2">
      <c r="B35" s="760" t="s">
        <v>546</v>
      </c>
      <c r="C35" s="760"/>
      <c r="D35" s="760"/>
      <c r="E35" s="760"/>
    </row>
    <row r="36" spans="1:9" s="214" customFormat="1" ht="15.75" x14ac:dyDescent="0.2">
      <c r="A36" s="289" t="s">
        <v>552</v>
      </c>
      <c r="B36" s="759" t="s">
        <v>632</v>
      </c>
      <c r="C36" s="759"/>
      <c r="D36" s="759"/>
      <c r="E36" s="759"/>
    </row>
    <row r="37" spans="1:9" s="214" customFormat="1" ht="15.75" x14ac:dyDescent="0.2">
      <c r="A37" s="289"/>
      <c r="B37" s="358"/>
      <c r="C37" s="358"/>
      <c r="D37" s="462"/>
      <c r="E37" s="289"/>
    </row>
    <row r="38" spans="1:9" s="214" customFormat="1" ht="15.75" x14ac:dyDescent="0.2">
      <c r="A38" s="289"/>
      <c r="B38" s="358"/>
      <c r="C38" s="358"/>
      <c r="D38" s="463"/>
      <c r="E38" s="289"/>
    </row>
    <row r="39" spans="1:9" ht="15.75" x14ac:dyDescent="0.25">
      <c r="A39" s="348" t="s">
        <v>681</v>
      </c>
      <c r="B39" s="761" t="s">
        <v>682</v>
      </c>
      <c r="C39" s="761"/>
      <c r="D39" s="761"/>
      <c r="E39" s="761"/>
      <c r="F39" s="15"/>
    </row>
    <row r="40" spans="1:9" ht="15.75" x14ac:dyDescent="0.25">
      <c r="A40" s="177" t="s">
        <v>416</v>
      </c>
      <c r="B40" s="761" t="s">
        <v>671</v>
      </c>
      <c r="C40" s="761"/>
      <c r="D40" s="761"/>
      <c r="E40" s="761"/>
      <c r="F40" s="90"/>
    </row>
    <row r="41" spans="1:9" ht="15.75" x14ac:dyDescent="0.25">
      <c r="A41" s="11" t="s">
        <v>684</v>
      </c>
      <c r="B41" s="12"/>
      <c r="C41" s="13"/>
      <c r="D41" s="14"/>
      <c r="E41" s="14"/>
      <c r="F41" s="90"/>
    </row>
    <row r="42" spans="1:9" ht="15.75" x14ac:dyDescent="0.25">
      <c r="A42" s="11"/>
      <c r="B42" s="12"/>
      <c r="C42" s="11"/>
      <c r="D42" s="11"/>
      <c r="E42" s="11"/>
      <c r="F42" s="90"/>
    </row>
    <row r="43" spans="1:9" ht="15.75" x14ac:dyDescent="0.25">
      <c r="A43" s="11"/>
      <c r="B43" s="11"/>
      <c r="C43" s="11"/>
      <c r="D43" s="11"/>
      <c r="E43" s="11"/>
      <c r="F43" s="90"/>
    </row>
    <row r="44" spans="1:9" ht="15.75" x14ac:dyDescent="0.25">
      <c r="A44" s="11"/>
      <c r="B44" s="762" t="s">
        <v>683</v>
      </c>
      <c r="C44" s="762"/>
      <c r="D44" s="762"/>
      <c r="E44" s="762"/>
      <c r="F44" s="90"/>
    </row>
    <row r="45" spans="1:9" ht="15.75" x14ac:dyDescent="0.25">
      <c r="A45" s="11"/>
      <c r="B45" s="763" t="s">
        <v>621</v>
      </c>
      <c r="C45" s="763"/>
      <c r="D45" s="763"/>
      <c r="E45" s="763"/>
      <c r="F45" s="90"/>
    </row>
    <row r="46" spans="1:9" ht="15.75" x14ac:dyDescent="0.25">
      <c r="A46" s="348" t="s">
        <v>686</v>
      </c>
      <c r="B46" s="11"/>
      <c r="C46" s="11"/>
      <c r="D46" s="11"/>
      <c r="E46" s="11"/>
      <c r="F46" s="90"/>
    </row>
    <row r="47" spans="1:9" ht="15.75" x14ac:dyDescent="0.25">
      <c r="A47" s="148" t="s">
        <v>687</v>
      </c>
      <c r="B47" s="11"/>
      <c r="C47" s="11"/>
      <c r="D47" s="11"/>
      <c r="E47" s="11"/>
      <c r="F47" s="90"/>
    </row>
    <row r="48" spans="1:9" ht="15.75" x14ac:dyDescent="0.25">
      <c r="A48" s="11" t="s">
        <v>688</v>
      </c>
      <c r="B48" s="11"/>
      <c r="C48" s="11"/>
      <c r="D48" s="11"/>
      <c r="E48" s="11"/>
      <c r="F48" s="90"/>
    </row>
    <row r="49" spans="1:6" ht="15.75" x14ac:dyDescent="0.25">
      <c r="A49" s="148" t="s">
        <v>419</v>
      </c>
      <c r="B49" s="764" t="s">
        <v>685</v>
      </c>
      <c r="C49" s="764"/>
      <c r="D49" s="764"/>
      <c r="E49" s="764"/>
      <c r="F49" s="16"/>
    </row>
    <row r="50" spans="1:6" ht="15.75" x14ac:dyDescent="0.25">
      <c r="A50" s="148" t="s">
        <v>690</v>
      </c>
      <c r="B50" s="748" t="s">
        <v>622</v>
      </c>
      <c r="C50" s="748"/>
      <c r="D50" s="748"/>
      <c r="E50" s="748"/>
      <c r="F50" s="16"/>
    </row>
    <row r="51" spans="1:6" x14ac:dyDescent="0.2">
      <c r="A51" s="5"/>
      <c r="B51" s="5"/>
      <c r="C51" s="5"/>
      <c r="D51" s="5"/>
      <c r="E51" s="5"/>
    </row>
    <row r="52" spans="1:6" ht="15.75" x14ac:dyDescent="0.2">
      <c r="A52" s="358"/>
      <c r="B52" s="358"/>
      <c r="C52" s="358"/>
      <c r="D52" s="358"/>
      <c r="E52" s="358"/>
    </row>
    <row r="53" spans="1:6" ht="15.75" x14ac:dyDescent="0.2">
      <c r="A53" s="358"/>
      <c r="B53" s="358"/>
      <c r="C53" s="358"/>
      <c r="D53" s="358"/>
      <c r="E53" s="358"/>
    </row>
    <row r="54" spans="1:6" ht="15.75" x14ac:dyDescent="0.2">
      <c r="A54" s="358"/>
      <c r="B54" s="358"/>
      <c r="C54" s="358"/>
      <c r="D54" s="358"/>
      <c r="E54" s="358"/>
    </row>
    <row r="55" spans="1:6" ht="15.75" x14ac:dyDescent="0.2">
      <c r="A55" s="358"/>
      <c r="B55" s="358"/>
      <c r="C55" s="358"/>
      <c r="D55" s="358"/>
      <c r="E55" s="358"/>
    </row>
    <row r="56" spans="1:6" ht="15.75" x14ac:dyDescent="0.2">
      <c r="A56" s="358"/>
      <c r="B56" s="358"/>
      <c r="C56" s="358"/>
      <c r="D56" s="358"/>
      <c r="E56" s="358"/>
    </row>
    <row r="57" spans="1:6" ht="15.75" x14ac:dyDescent="0.2">
      <c r="A57" s="358"/>
      <c r="B57" s="358"/>
      <c r="C57" s="358"/>
      <c r="D57" s="358"/>
      <c r="E57" s="358"/>
    </row>
    <row r="58" spans="1:6" ht="15.75" x14ac:dyDescent="0.2">
      <c r="A58" s="358"/>
      <c r="B58" s="358"/>
      <c r="C58" s="358"/>
      <c r="D58" s="358"/>
      <c r="E58" s="358"/>
    </row>
    <row r="59" spans="1:6" ht="15.75" x14ac:dyDescent="0.2">
      <c r="A59" s="358"/>
      <c r="B59" s="358"/>
      <c r="C59" s="358"/>
      <c r="D59" s="358"/>
      <c r="E59" s="358"/>
    </row>
    <row r="60" spans="1:6" ht="15.75" x14ac:dyDescent="0.2">
      <c r="A60" s="358"/>
      <c r="B60" s="358"/>
      <c r="C60" s="358"/>
      <c r="D60" s="358"/>
      <c r="E60" s="358"/>
    </row>
    <row r="61" spans="1:6" ht="15.75" x14ac:dyDescent="0.2">
      <c r="A61" s="358"/>
      <c r="B61" s="358"/>
      <c r="C61" s="358"/>
      <c r="D61" s="358"/>
      <c r="E61" s="358"/>
    </row>
    <row r="62" spans="1:6" ht="15.75" x14ac:dyDescent="0.2">
      <c r="A62" s="358"/>
      <c r="B62" s="358"/>
      <c r="C62" s="358"/>
      <c r="D62" s="358"/>
      <c r="E62" s="358"/>
    </row>
    <row r="63" spans="1:6" ht="15.75" x14ac:dyDescent="0.2">
      <c r="A63" s="358"/>
      <c r="B63" s="358"/>
      <c r="C63" s="358"/>
      <c r="D63" s="358"/>
      <c r="E63" s="358"/>
    </row>
    <row r="64" spans="1:6" ht="15.75" x14ac:dyDescent="0.2">
      <c r="A64" s="358"/>
      <c r="B64" s="358"/>
      <c r="C64" s="358"/>
      <c r="D64" s="358"/>
      <c r="E64" s="358"/>
    </row>
    <row r="65" spans="1:5" ht="15.75" x14ac:dyDescent="0.2">
      <c r="A65" s="358"/>
      <c r="B65" s="358"/>
      <c r="C65" s="358"/>
      <c r="D65" s="358"/>
      <c r="E65" s="358"/>
    </row>
    <row r="66" spans="1:5" ht="15.75" x14ac:dyDescent="0.2">
      <c r="A66" s="358"/>
      <c r="B66" s="358"/>
      <c r="C66" s="358"/>
      <c r="D66" s="358"/>
      <c r="E66" s="358"/>
    </row>
    <row r="67" spans="1:5" ht="15.75" x14ac:dyDescent="0.2">
      <c r="A67" s="358"/>
      <c r="B67" s="358"/>
      <c r="C67" s="358"/>
      <c r="D67" s="358"/>
      <c r="E67" s="358"/>
    </row>
    <row r="68" spans="1:5" ht="15.75" x14ac:dyDescent="0.2">
      <c r="A68" s="358"/>
      <c r="B68" s="358"/>
      <c r="C68" s="358"/>
      <c r="D68" s="358"/>
      <c r="E68" s="358"/>
    </row>
    <row r="69" spans="1:5" ht="15.75" x14ac:dyDescent="0.2">
      <c r="A69" s="358"/>
      <c r="B69" s="358"/>
      <c r="C69" s="358"/>
      <c r="D69" s="358"/>
      <c r="E69" s="358"/>
    </row>
    <row r="70" spans="1:5" ht="15.75" x14ac:dyDescent="0.2">
      <c r="A70" s="358"/>
      <c r="B70" s="358"/>
      <c r="C70" s="358"/>
      <c r="D70" s="358"/>
      <c r="E70" s="358"/>
    </row>
    <row r="71" spans="1:5" ht="15.75" x14ac:dyDescent="0.2">
      <c r="A71" s="358"/>
      <c r="B71" s="358"/>
      <c r="C71" s="358"/>
      <c r="D71" s="358"/>
      <c r="E71" s="358"/>
    </row>
    <row r="72" spans="1:5" ht="15.75" x14ac:dyDescent="0.2">
      <c r="A72" s="358"/>
      <c r="B72" s="358"/>
      <c r="C72" s="358"/>
      <c r="D72" s="358"/>
      <c r="E72" s="358"/>
    </row>
    <row r="73" spans="1:5" ht="15.75" x14ac:dyDescent="0.2">
      <c r="A73" s="358"/>
      <c r="B73" s="358"/>
      <c r="C73" s="358"/>
      <c r="D73" s="358"/>
      <c r="E73" s="358"/>
    </row>
    <row r="74" spans="1:5" ht="15.75" x14ac:dyDescent="0.2">
      <c r="A74" s="358"/>
      <c r="B74" s="358"/>
      <c r="C74" s="358"/>
      <c r="D74" s="358"/>
      <c r="E74" s="358"/>
    </row>
    <row r="75" spans="1:5" ht="15.75" x14ac:dyDescent="0.2">
      <c r="A75" s="358"/>
      <c r="B75" s="358"/>
      <c r="C75" s="358"/>
      <c r="D75" s="358"/>
      <c r="E75" s="358"/>
    </row>
    <row r="76" spans="1:5" ht="15.75" x14ac:dyDescent="0.2">
      <c r="A76" s="358"/>
      <c r="B76" s="358"/>
      <c r="C76" s="358"/>
      <c r="D76" s="358"/>
      <c r="E76" s="358"/>
    </row>
    <row r="77" spans="1:5" ht="15.75" x14ac:dyDescent="0.2">
      <c r="A77" s="358"/>
      <c r="B77" s="358"/>
      <c r="C77" s="358"/>
      <c r="D77" s="358"/>
      <c r="E77" s="358"/>
    </row>
    <row r="78" spans="1:5" ht="15.75" x14ac:dyDescent="0.2">
      <c r="A78" s="358"/>
      <c r="B78" s="358"/>
      <c r="C78" s="358"/>
      <c r="D78" s="358"/>
      <c r="E78" s="358"/>
    </row>
    <row r="79" spans="1:5" ht="15.75" x14ac:dyDescent="0.2">
      <c r="A79" s="358"/>
      <c r="B79" s="358"/>
      <c r="C79" s="358"/>
      <c r="D79" s="358"/>
      <c r="E79" s="358"/>
    </row>
    <row r="80" spans="1:5" ht="15.75" x14ac:dyDescent="0.2">
      <c r="A80" s="358"/>
      <c r="B80" s="358"/>
      <c r="C80" s="358"/>
      <c r="D80" s="358"/>
      <c r="E80" s="358"/>
    </row>
    <row r="81" spans="1:5" ht="15.75" x14ac:dyDescent="0.2">
      <c r="A81" s="358"/>
      <c r="B81" s="358"/>
      <c r="C81" s="358"/>
      <c r="D81" s="358"/>
      <c r="E81" s="358"/>
    </row>
    <row r="82" spans="1:5" ht="15.75" x14ac:dyDescent="0.2">
      <c r="A82" s="358"/>
      <c r="B82" s="358"/>
      <c r="C82" s="358"/>
      <c r="D82" s="358"/>
      <c r="E82" s="358"/>
    </row>
    <row r="83" spans="1:5" ht="15.75" x14ac:dyDescent="0.2">
      <c r="A83" s="358"/>
      <c r="B83" s="358"/>
      <c r="C83" s="358"/>
      <c r="D83" s="358"/>
      <c r="E83" s="358"/>
    </row>
    <row r="84" spans="1:5" ht="15.75" x14ac:dyDescent="0.2">
      <c r="A84" s="358"/>
      <c r="B84" s="358"/>
      <c r="C84" s="358"/>
      <c r="D84" s="358"/>
      <c r="E84" s="358"/>
    </row>
    <row r="85" spans="1:5" ht="15.75" x14ac:dyDescent="0.2">
      <c r="A85" s="358"/>
      <c r="B85" s="358"/>
      <c r="C85" s="358"/>
      <c r="D85" s="358"/>
      <c r="E85" s="358"/>
    </row>
    <row r="86" spans="1:5" ht="15.75" x14ac:dyDescent="0.2">
      <c r="A86" s="358"/>
      <c r="B86" s="358"/>
      <c r="C86" s="358"/>
      <c r="D86" s="358"/>
      <c r="E86" s="358"/>
    </row>
    <row r="87" spans="1:5" ht="15.75" x14ac:dyDescent="0.2">
      <c r="A87" s="358"/>
      <c r="B87" s="358"/>
      <c r="C87" s="358"/>
      <c r="D87" s="358"/>
      <c r="E87" s="358"/>
    </row>
    <row r="88" spans="1:5" ht="15.75" x14ac:dyDescent="0.2">
      <c r="A88" s="358"/>
      <c r="B88" s="358"/>
      <c r="C88" s="358"/>
      <c r="D88" s="358"/>
      <c r="E88" s="358"/>
    </row>
    <row r="89" spans="1:5" ht="15.75" x14ac:dyDescent="0.2">
      <c r="A89" s="358"/>
      <c r="B89" s="358"/>
      <c r="C89" s="358"/>
      <c r="D89" s="358"/>
      <c r="E89" s="358"/>
    </row>
    <row r="90" spans="1:5" ht="15.75" x14ac:dyDescent="0.2">
      <c r="A90" s="358"/>
      <c r="B90" s="358"/>
      <c r="C90" s="358"/>
      <c r="D90" s="358"/>
      <c r="E90" s="358"/>
    </row>
    <row r="91" spans="1:5" ht="15.75" x14ac:dyDescent="0.2">
      <c r="A91" s="358"/>
      <c r="B91" s="358"/>
      <c r="C91" s="358"/>
      <c r="D91" s="358"/>
      <c r="E91" s="358"/>
    </row>
    <row r="92" spans="1:5" ht="15.75" x14ac:dyDescent="0.2">
      <c r="A92" s="358"/>
      <c r="B92" s="358"/>
      <c r="C92" s="358"/>
      <c r="D92" s="358"/>
      <c r="E92" s="358"/>
    </row>
    <row r="93" spans="1:5" ht="15.75" x14ac:dyDescent="0.2">
      <c r="A93" s="358"/>
      <c r="B93" s="358"/>
      <c r="C93" s="358"/>
      <c r="D93" s="358"/>
      <c r="E93" s="358"/>
    </row>
    <row r="94" spans="1:5" ht="15.75" x14ac:dyDescent="0.2">
      <c r="A94" s="358"/>
      <c r="B94" s="358"/>
      <c r="C94" s="358"/>
      <c r="D94" s="358"/>
      <c r="E94" s="358"/>
    </row>
    <row r="95" spans="1:5" ht="15.75" x14ac:dyDescent="0.2">
      <c r="A95" s="358"/>
      <c r="B95" s="358"/>
      <c r="C95" s="358"/>
      <c r="D95" s="358"/>
      <c r="E95" s="358"/>
    </row>
    <row r="96" spans="1:5" ht="15.75" x14ac:dyDescent="0.2">
      <c r="A96" s="358"/>
      <c r="B96" s="358"/>
      <c r="C96" s="358"/>
      <c r="D96" s="358"/>
      <c r="E96" s="358"/>
    </row>
    <row r="97" spans="1:5" ht="15.75" x14ac:dyDescent="0.2">
      <c r="A97" s="358"/>
      <c r="B97" s="358"/>
      <c r="C97" s="358"/>
      <c r="D97" s="358"/>
      <c r="E97" s="358"/>
    </row>
    <row r="98" spans="1:5" ht="15.75" x14ac:dyDescent="0.2">
      <c r="A98" s="358"/>
      <c r="B98" s="358"/>
      <c r="C98" s="358"/>
      <c r="D98" s="358"/>
      <c r="E98" s="358"/>
    </row>
    <row r="99" spans="1:5" ht="15.75" x14ac:dyDescent="0.2">
      <c r="A99" s="358"/>
      <c r="B99" s="358"/>
      <c r="C99" s="358"/>
      <c r="D99" s="358"/>
      <c r="E99" s="358"/>
    </row>
    <row r="100" spans="1:5" ht="15.75" x14ac:dyDescent="0.2">
      <c r="A100" s="358"/>
      <c r="B100" s="358"/>
      <c r="C100" s="358"/>
      <c r="D100" s="358"/>
      <c r="E100" s="358"/>
    </row>
    <row r="101" spans="1:5" ht="15.75" x14ac:dyDescent="0.2">
      <c r="A101" s="358"/>
      <c r="B101" s="358"/>
      <c r="C101" s="358"/>
      <c r="D101" s="358"/>
      <c r="E101" s="358"/>
    </row>
    <row r="102" spans="1:5" ht="15.75" x14ac:dyDescent="0.2">
      <c r="A102" s="358"/>
      <c r="B102" s="358"/>
      <c r="C102" s="358"/>
      <c r="D102" s="358"/>
      <c r="E102" s="358"/>
    </row>
    <row r="103" spans="1:5" ht="15.75" x14ac:dyDescent="0.2">
      <c r="A103" s="358"/>
      <c r="B103" s="358"/>
      <c r="C103" s="358"/>
      <c r="D103" s="358"/>
      <c r="E103" s="358"/>
    </row>
    <row r="104" spans="1:5" ht="15.75" x14ac:dyDescent="0.2">
      <c r="A104" s="358"/>
      <c r="B104" s="358"/>
      <c r="C104" s="358"/>
      <c r="D104" s="358"/>
      <c r="E104" s="358"/>
    </row>
    <row r="105" spans="1:5" ht="15.75" x14ac:dyDescent="0.2">
      <c r="A105" s="358"/>
      <c r="B105" s="358"/>
      <c r="C105" s="358"/>
      <c r="D105" s="358"/>
      <c r="E105" s="358"/>
    </row>
    <row r="106" spans="1:5" ht="15.75" x14ac:dyDescent="0.2">
      <c r="A106" s="358"/>
      <c r="B106" s="358"/>
      <c r="C106" s="358"/>
      <c r="D106" s="358"/>
      <c r="E106" s="358"/>
    </row>
    <row r="107" spans="1:5" ht="15.75" x14ac:dyDescent="0.2">
      <c r="A107" s="358"/>
      <c r="B107" s="358"/>
      <c r="C107" s="358"/>
      <c r="D107" s="358"/>
      <c r="E107" s="358"/>
    </row>
    <row r="108" spans="1:5" ht="15.75" x14ac:dyDescent="0.2">
      <c r="A108" s="358"/>
      <c r="B108" s="358"/>
      <c r="C108" s="358"/>
      <c r="D108" s="358"/>
      <c r="E108" s="358"/>
    </row>
    <row r="109" spans="1:5" ht="15.75" x14ac:dyDescent="0.2">
      <c r="A109" s="358"/>
      <c r="B109" s="358"/>
      <c r="C109" s="358"/>
      <c r="D109" s="358"/>
      <c r="E109" s="358"/>
    </row>
    <row r="110" spans="1:5" ht="15.75" x14ac:dyDescent="0.2">
      <c r="A110" s="358"/>
      <c r="B110" s="358"/>
      <c r="C110" s="358"/>
      <c r="D110" s="358"/>
      <c r="E110" s="358"/>
    </row>
    <row r="111" spans="1:5" ht="15.75" x14ac:dyDescent="0.2">
      <c r="A111" s="358"/>
      <c r="B111" s="358"/>
      <c r="C111" s="358"/>
      <c r="D111" s="358"/>
      <c r="E111" s="358"/>
    </row>
    <row r="112" spans="1:5" ht="15.75" x14ac:dyDescent="0.2">
      <c r="A112" s="358"/>
      <c r="B112" s="358"/>
      <c r="C112" s="358"/>
      <c r="D112" s="358"/>
      <c r="E112" s="358"/>
    </row>
    <row r="113" spans="1:5" ht="15.75" x14ac:dyDescent="0.2">
      <c r="A113" s="358"/>
      <c r="B113" s="358"/>
      <c r="C113" s="358"/>
      <c r="D113" s="358"/>
      <c r="E113" s="358"/>
    </row>
    <row r="114" spans="1:5" ht="15.75" x14ac:dyDescent="0.2">
      <c r="A114" s="358"/>
      <c r="B114" s="358"/>
      <c r="C114" s="358"/>
      <c r="D114" s="358"/>
      <c r="E114" s="358"/>
    </row>
    <row r="115" spans="1:5" ht="15.75" x14ac:dyDescent="0.2">
      <c r="A115" s="358"/>
      <c r="B115" s="358"/>
      <c r="C115" s="358"/>
      <c r="D115" s="358"/>
      <c r="E115" s="358"/>
    </row>
    <row r="116" spans="1:5" ht="15.75" x14ac:dyDescent="0.2">
      <c r="A116" s="358"/>
      <c r="B116" s="358"/>
      <c r="C116" s="358"/>
      <c r="D116" s="358"/>
      <c r="E116" s="358"/>
    </row>
    <row r="117" spans="1:5" ht="15.75" x14ac:dyDescent="0.2">
      <c r="A117" s="358"/>
      <c r="B117" s="358"/>
      <c r="C117" s="358"/>
      <c r="D117" s="358"/>
      <c r="E117" s="358"/>
    </row>
    <row r="118" spans="1:5" ht="15.75" x14ac:dyDescent="0.2">
      <c r="A118" s="358"/>
      <c r="B118" s="358"/>
      <c r="C118" s="358"/>
      <c r="D118" s="358"/>
      <c r="E118" s="358"/>
    </row>
    <row r="119" spans="1:5" ht="15.75" x14ac:dyDescent="0.2">
      <c r="A119" s="358"/>
      <c r="B119" s="358"/>
      <c r="C119" s="358"/>
      <c r="D119" s="358"/>
      <c r="E119" s="358"/>
    </row>
    <row r="120" spans="1:5" ht="15.75" x14ac:dyDescent="0.2">
      <c r="A120" s="358"/>
      <c r="B120" s="358"/>
      <c r="C120" s="358"/>
      <c r="D120" s="358"/>
      <c r="E120" s="358"/>
    </row>
    <row r="121" spans="1:5" ht="15.75" x14ac:dyDescent="0.2">
      <c r="A121" s="358"/>
      <c r="B121" s="358"/>
      <c r="C121" s="358"/>
      <c r="D121" s="358"/>
      <c r="E121" s="358"/>
    </row>
    <row r="122" spans="1:5" ht="15.75" x14ac:dyDescent="0.2">
      <c r="A122" s="358"/>
      <c r="B122" s="358"/>
      <c r="C122" s="358"/>
      <c r="D122" s="358"/>
      <c r="E122" s="358"/>
    </row>
    <row r="123" spans="1:5" ht="15.75" x14ac:dyDescent="0.2">
      <c r="A123" s="358"/>
      <c r="B123" s="358"/>
      <c r="C123" s="358"/>
      <c r="D123" s="358"/>
      <c r="E123" s="358"/>
    </row>
    <row r="124" spans="1:5" ht="15.75" x14ac:dyDescent="0.2">
      <c r="A124" s="358"/>
      <c r="B124" s="358"/>
      <c r="C124" s="358"/>
      <c r="D124" s="358"/>
      <c r="E124" s="358"/>
    </row>
    <row r="125" spans="1:5" ht="15.75" x14ac:dyDescent="0.2">
      <c r="A125" s="358"/>
      <c r="B125" s="358"/>
      <c r="C125" s="358"/>
      <c r="D125" s="358"/>
      <c r="E125" s="358"/>
    </row>
    <row r="126" spans="1:5" ht="15.75" x14ac:dyDescent="0.2">
      <c r="A126" s="358"/>
      <c r="B126" s="358"/>
      <c r="C126" s="358"/>
      <c r="D126" s="358"/>
      <c r="E126" s="358"/>
    </row>
    <row r="127" spans="1:5" ht="15.75" x14ac:dyDescent="0.2">
      <c r="A127" s="358"/>
      <c r="B127" s="358"/>
      <c r="C127" s="358"/>
      <c r="D127" s="358"/>
      <c r="E127" s="358"/>
    </row>
    <row r="128" spans="1:5" ht="15.75" x14ac:dyDescent="0.2">
      <c r="A128" s="358"/>
      <c r="B128" s="358"/>
      <c r="C128" s="358"/>
      <c r="D128" s="358"/>
      <c r="E128" s="358"/>
    </row>
    <row r="129" spans="1:5" ht="15.75" x14ac:dyDescent="0.2">
      <c r="A129" s="358"/>
      <c r="B129" s="358"/>
      <c r="C129" s="358"/>
      <c r="D129" s="358"/>
      <c r="E129" s="358"/>
    </row>
    <row r="130" spans="1:5" ht="15.75" x14ac:dyDescent="0.2">
      <c r="A130" s="358"/>
      <c r="B130" s="358"/>
      <c r="C130" s="358"/>
      <c r="D130" s="358"/>
      <c r="E130" s="358"/>
    </row>
    <row r="131" spans="1:5" ht="15.75" x14ac:dyDescent="0.2">
      <c r="A131" s="358"/>
      <c r="B131" s="358"/>
      <c r="C131" s="358"/>
      <c r="D131" s="358"/>
      <c r="E131" s="358"/>
    </row>
    <row r="132" spans="1:5" ht="15.75" x14ac:dyDescent="0.2">
      <c r="A132" s="358"/>
      <c r="B132" s="358"/>
      <c r="C132" s="358"/>
      <c r="D132" s="358"/>
      <c r="E132" s="358"/>
    </row>
    <row r="133" spans="1:5" ht="15.75" x14ac:dyDescent="0.2">
      <c r="A133" s="358"/>
      <c r="B133" s="358"/>
      <c r="C133" s="358"/>
      <c r="D133" s="358"/>
      <c r="E133" s="358"/>
    </row>
    <row r="134" spans="1:5" ht="15.75" x14ac:dyDescent="0.2">
      <c r="A134" s="358"/>
      <c r="B134" s="358"/>
      <c r="C134" s="358"/>
      <c r="D134" s="358"/>
      <c r="E134" s="358"/>
    </row>
    <row r="135" spans="1:5" ht="15.75" x14ac:dyDescent="0.2">
      <c r="A135" s="358"/>
      <c r="B135" s="358"/>
      <c r="C135" s="358"/>
      <c r="D135" s="358"/>
      <c r="E135" s="358"/>
    </row>
    <row r="136" spans="1:5" ht="15.75" x14ac:dyDescent="0.2">
      <c r="A136" s="358"/>
      <c r="B136" s="358"/>
      <c r="C136" s="358"/>
      <c r="D136" s="358"/>
      <c r="E136" s="358"/>
    </row>
    <row r="137" spans="1:5" ht="15.75" x14ac:dyDescent="0.2">
      <c r="A137" s="358"/>
      <c r="B137" s="358"/>
      <c r="C137" s="358"/>
      <c r="D137" s="358"/>
      <c r="E137" s="358"/>
    </row>
    <row r="138" spans="1:5" ht="15.75" x14ac:dyDescent="0.2">
      <c r="A138" s="289"/>
      <c r="B138" s="289"/>
      <c r="C138" s="289"/>
      <c r="D138" s="358"/>
      <c r="E138" s="358"/>
    </row>
    <row r="139" spans="1:5" ht="15.75" x14ac:dyDescent="0.2">
      <c r="A139" s="289"/>
      <c r="B139" s="289"/>
      <c r="C139" s="289"/>
      <c r="D139" s="358"/>
      <c r="E139" s="358"/>
    </row>
    <row r="140" spans="1:5" ht="15.75" x14ac:dyDescent="0.2">
      <c r="A140" s="289"/>
      <c r="B140" s="289"/>
      <c r="C140" s="289"/>
      <c r="D140" s="358"/>
      <c r="E140" s="358"/>
    </row>
    <row r="141" spans="1:5" ht="15.75" x14ac:dyDescent="0.2">
      <c r="A141" s="289"/>
      <c r="B141" s="289"/>
      <c r="C141" s="289"/>
      <c r="D141" s="358"/>
      <c r="E141" s="358"/>
    </row>
    <row r="142" spans="1:5" ht="15.75" x14ac:dyDescent="0.2">
      <c r="A142" s="289"/>
      <c r="B142" s="289"/>
      <c r="C142" s="289"/>
      <c r="D142" s="358"/>
      <c r="E142" s="358"/>
    </row>
    <row r="143" spans="1:5" ht="15.75" x14ac:dyDescent="0.2">
      <c r="A143" s="289"/>
      <c r="B143" s="289"/>
      <c r="C143" s="289"/>
      <c r="D143" s="358"/>
      <c r="E143" s="358"/>
    </row>
    <row r="144" spans="1:5" ht="15.75" x14ac:dyDescent="0.2">
      <c r="A144" s="289"/>
      <c r="B144" s="289"/>
      <c r="C144" s="289"/>
      <c r="D144" s="358"/>
      <c r="E144" s="358"/>
    </row>
    <row r="145" spans="1:5" ht="15.75" x14ac:dyDescent="0.2">
      <c r="A145" s="289"/>
      <c r="B145" s="289"/>
      <c r="C145" s="289"/>
      <c r="D145" s="358"/>
      <c r="E145" s="358"/>
    </row>
    <row r="146" spans="1:5" ht="15.75" x14ac:dyDescent="0.2">
      <c r="A146" s="289"/>
      <c r="B146" s="289"/>
      <c r="C146" s="289"/>
      <c r="D146" s="358"/>
      <c r="E146" s="358"/>
    </row>
    <row r="147" spans="1:5" ht="15.75" x14ac:dyDescent="0.2">
      <c r="A147" s="289"/>
      <c r="B147" s="289"/>
      <c r="C147" s="289"/>
      <c r="D147" s="358"/>
      <c r="E147" s="358"/>
    </row>
    <row r="148" spans="1:5" ht="15.75" x14ac:dyDescent="0.2">
      <c r="A148" s="289"/>
      <c r="B148" s="289"/>
      <c r="C148" s="289"/>
      <c r="D148" s="358"/>
      <c r="E148" s="358"/>
    </row>
    <row r="149" spans="1:5" ht="15.75" x14ac:dyDescent="0.2">
      <c r="A149" s="289"/>
      <c r="B149" s="289"/>
      <c r="C149" s="289"/>
      <c r="D149" s="358"/>
      <c r="E149" s="358"/>
    </row>
    <row r="150" spans="1:5" ht="15.75" x14ac:dyDescent="0.2">
      <c r="A150" s="289"/>
      <c r="B150" s="289"/>
      <c r="C150" s="289"/>
      <c r="D150" s="358"/>
      <c r="E150" s="358"/>
    </row>
    <row r="151" spans="1:5" ht="15.75" x14ac:dyDescent="0.2">
      <c r="A151" s="289"/>
      <c r="B151" s="289"/>
      <c r="C151" s="289"/>
      <c r="D151" s="358"/>
      <c r="E151" s="358"/>
    </row>
    <row r="152" spans="1:5" ht="15.75" x14ac:dyDescent="0.2">
      <c r="A152" s="289"/>
      <c r="B152" s="289"/>
      <c r="C152" s="289"/>
      <c r="D152" s="358"/>
      <c r="E152" s="358"/>
    </row>
    <row r="153" spans="1:5" ht="15.75" x14ac:dyDescent="0.2">
      <c r="A153" s="289"/>
      <c r="B153" s="289"/>
      <c r="C153" s="289"/>
      <c r="D153" s="358"/>
      <c r="E153" s="358"/>
    </row>
    <row r="154" spans="1:5" ht="15.75" x14ac:dyDescent="0.2">
      <c r="A154" s="289"/>
      <c r="B154" s="289"/>
      <c r="C154" s="289"/>
      <c r="D154" s="358"/>
      <c r="E154" s="358"/>
    </row>
    <row r="155" spans="1:5" ht="15.75" x14ac:dyDescent="0.2">
      <c r="A155" s="289"/>
      <c r="B155" s="289"/>
      <c r="C155" s="289"/>
      <c r="D155" s="358"/>
      <c r="E155" s="358"/>
    </row>
    <row r="156" spans="1:5" ht="15.75" x14ac:dyDescent="0.2">
      <c r="A156" s="289"/>
      <c r="B156" s="289"/>
      <c r="C156" s="289"/>
      <c r="D156" s="358"/>
      <c r="E156" s="358"/>
    </row>
    <row r="157" spans="1:5" ht="15.75" x14ac:dyDescent="0.2">
      <c r="A157" s="289"/>
      <c r="B157" s="289"/>
      <c r="C157" s="289"/>
      <c r="D157" s="358"/>
      <c r="E157" s="358"/>
    </row>
    <row r="158" spans="1:5" ht="15.75" x14ac:dyDescent="0.2">
      <c r="A158" s="289"/>
      <c r="B158" s="289"/>
      <c r="C158" s="289"/>
      <c r="D158" s="358"/>
      <c r="E158" s="358"/>
    </row>
    <row r="159" spans="1:5" ht="15.75" x14ac:dyDescent="0.2">
      <c r="A159" s="289"/>
      <c r="B159" s="289"/>
      <c r="C159" s="289"/>
      <c r="D159" s="358"/>
      <c r="E159" s="358"/>
    </row>
    <row r="160" spans="1:5" ht="15.75" x14ac:dyDescent="0.2">
      <c r="A160" s="289"/>
      <c r="B160" s="289"/>
      <c r="C160" s="289"/>
      <c r="D160" s="358"/>
      <c r="E160" s="358"/>
    </row>
    <row r="161" spans="1:5" ht="15.75" x14ac:dyDescent="0.2">
      <c r="A161" s="289"/>
      <c r="B161" s="289"/>
      <c r="C161" s="289"/>
      <c r="D161" s="358"/>
      <c r="E161" s="358"/>
    </row>
    <row r="162" spans="1:5" ht="15.75" x14ac:dyDescent="0.2">
      <c r="A162" s="289"/>
      <c r="B162" s="289"/>
      <c r="C162" s="289"/>
      <c r="D162" s="358"/>
      <c r="E162" s="358"/>
    </row>
    <row r="163" spans="1:5" ht="15.75" x14ac:dyDescent="0.2">
      <c r="A163" s="289"/>
      <c r="B163" s="289"/>
      <c r="C163" s="289"/>
      <c r="D163" s="358"/>
      <c r="E163" s="358"/>
    </row>
    <row r="164" spans="1:5" ht="15.75" x14ac:dyDescent="0.2">
      <c r="A164" s="289"/>
      <c r="B164" s="289"/>
      <c r="C164" s="289"/>
      <c r="D164" s="358"/>
      <c r="E164" s="358"/>
    </row>
    <row r="165" spans="1:5" ht="15.75" x14ac:dyDescent="0.2">
      <c r="A165" s="289"/>
      <c r="B165" s="289"/>
      <c r="C165" s="289"/>
      <c r="D165" s="358"/>
      <c r="E165" s="358"/>
    </row>
    <row r="166" spans="1:5" ht="15.75" x14ac:dyDescent="0.2">
      <c r="A166" s="289"/>
      <c r="B166" s="289"/>
      <c r="C166" s="289"/>
      <c r="D166" s="358"/>
      <c r="E166" s="358"/>
    </row>
    <row r="167" spans="1:5" ht="15.75" x14ac:dyDescent="0.2">
      <c r="A167" s="289"/>
      <c r="B167" s="289"/>
      <c r="C167" s="289"/>
      <c r="D167" s="358"/>
      <c r="E167" s="358"/>
    </row>
    <row r="168" spans="1:5" ht="15.75" x14ac:dyDescent="0.2">
      <c r="A168" s="289"/>
      <c r="B168" s="289"/>
      <c r="C168" s="289"/>
      <c r="D168" s="358"/>
      <c r="E168" s="358"/>
    </row>
    <row r="169" spans="1:5" ht="15.75" x14ac:dyDescent="0.2">
      <c r="A169" s="289"/>
      <c r="B169" s="289"/>
      <c r="C169" s="289"/>
      <c r="D169" s="358"/>
      <c r="E169" s="358"/>
    </row>
    <row r="170" spans="1:5" ht="15.75" x14ac:dyDescent="0.2">
      <c r="A170" s="289"/>
      <c r="B170" s="289"/>
      <c r="C170" s="289"/>
      <c r="D170" s="358"/>
      <c r="E170" s="358"/>
    </row>
    <row r="171" spans="1:5" ht="15.75" x14ac:dyDescent="0.2">
      <c r="A171" s="289"/>
      <c r="B171" s="289"/>
      <c r="C171" s="289"/>
      <c r="D171" s="358"/>
      <c r="E171" s="358"/>
    </row>
    <row r="172" spans="1:5" ht="15.75" x14ac:dyDescent="0.2">
      <c r="A172" s="289"/>
      <c r="B172" s="289"/>
      <c r="C172" s="289"/>
      <c r="D172" s="358"/>
      <c r="E172" s="358"/>
    </row>
    <row r="173" spans="1:5" x14ac:dyDescent="0.2">
      <c r="A173" s="352"/>
      <c r="B173" s="352"/>
      <c r="C173" s="352"/>
      <c r="D173" s="366"/>
      <c r="E173" s="366"/>
    </row>
    <row r="174" spans="1:5" x14ac:dyDescent="0.2">
      <c r="A174" s="352"/>
      <c r="B174" s="352"/>
      <c r="C174" s="352"/>
      <c r="D174" s="366"/>
      <c r="E174" s="366"/>
    </row>
    <row r="175" spans="1:5" x14ac:dyDescent="0.2">
      <c r="A175" s="352"/>
      <c r="B175" s="352"/>
      <c r="C175" s="352"/>
      <c r="D175" s="366"/>
      <c r="E175" s="366"/>
    </row>
    <row r="176" spans="1:5" x14ac:dyDescent="0.2">
      <c r="A176" s="352"/>
      <c r="B176" s="352"/>
      <c r="C176" s="352"/>
      <c r="D176" s="366"/>
      <c r="E176" s="366"/>
    </row>
    <row r="177" spans="1:5" x14ac:dyDescent="0.2">
      <c r="A177" s="352"/>
      <c r="B177" s="352"/>
      <c r="C177" s="352"/>
      <c r="D177" s="366"/>
      <c r="E177" s="366"/>
    </row>
    <row r="178" spans="1:5" x14ac:dyDescent="0.2">
      <c r="D178" s="5"/>
      <c r="E178" s="5"/>
    </row>
    <row r="179" spans="1:5" x14ac:dyDescent="0.2">
      <c r="D179" s="5"/>
      <c r="E179" s="5"/>
    </row>
    <row r="180" spans="1:5" x14ac:dyDescent="0.2">
      <c r="D180" s="5"/>
      <c r="E180" s="5"/>
    </row>
    <row r="181" spans="1:5" x14ac:dyDescent="0.2">
      <c r="D181" s="5"/>
      <c r="E181" s="5"/>
    </row>
    <row r="182" spans="1:5" x14ac:dyDescent="0.2">
      <c r="D182" s="5"/>
      <c r="E182" s="5"/>
    </row>
    <row r="183" spans="1:5" x14ac:dyDescent="0.2">
      <c r="D183" s="5"/>
      <c r="E183" s="5"/>
    </row>
    <row r="184" spans="1:5" x14ac:dyDescent="0.2">
      <c r="D184" s="5"/>
      <c r="E184" s="5"/>
    </row>
    <row r="185" spans="1:5" x14ac:dyDescent="0.2">
      <c r="D185" s="5"/>
      <c r="E185" s="5"/>
    </row>
    <row r="186" spans="1:5" x14ac:dyDescent="0.2">
      <c r="D186" s="5"/>
      <c r="E186" s="5"/>
    </row>
    <row r="187" spans="1:5" x14ac:dyDescent="0.2">
      <c r="D187" s="5"/>
      <c r="E187" s="5"/>
    </row>
    <row r="188" spans="1:5" x14ac:dyDescent="0.2">
      <c r="D188" s="5"/>
      <c r="E188" s="5"/>
    </row>
    <row r="189" spans="1:5" x14ac:dyDescent="0.2">
      <c r="D189" s="5"/>
      <c r="E189" s="5"/>
    </row>
    <row r="190" spans="1:5" x14ac:dyDescent="0.2">
      <c r="D190" s="5"/>
      <c r="E190" s="5"/>
    </row>
    <row r="191" spans="1:5" x14ac:dyDescent="0.2">
      <c r="D191" s="5"/>
      <c r="E191" s="5"/>
    </row>
    <row r="192" spans="1:5" x14ac:dyDescent="0.2">
      <c r="D192" s="5"/>
      <c r="E192" s="5"/>
    </row>
    <row r="193" spans="4:5" x14ac:dyDescent="0.2">
      <c r="D193" s="5"/>
      <c r="E193" s="5"/>
    </row>
    <row r="194" spans="4:5" x14ac:dyDescent="0.2">
      <c r="D194" s="5"/>
      <c r="E194" s="5"/>
    </row>
    <row r="195" spans="4:5" x14ac:dyDescent="0.2">
      <c r="D195" s="5"/>
      <c r="E195" s="5"/>
    </row>
    <row r="196" spans="4:5" x14ac:dyDescent="0.2">
      <c r="D196" s="5"/>
      <c r="E196" s="5"/>
    </row>
    <row r="197" spans="4:5" x14ac:dyDescent="0.2">
      <c r="D197" s="5"/>
      <c r="E197" s="5"/>
    </row>
    <row r="198" spans="4:5" x14ac:dyDescent="0.2">
      <c r="D198" s="5"/>
      <c r="E198" s="5"/>
    </row>
    <row r="199" spans="4:5" x14ac:dyDescent="0.2">
      <c r="D199" s="5"/>
      <c r="E199" s="5"/>
    </row>
    <row r="200" spans="4:5" x14ac:dyDescent="0.2">
      <c r="D200" s="5"/>
      <c r="E200" s="5"/>
    </row>
    <row r="201" spans="4:5" x14ac:dyDescent="0.2">
      <c r="D201" s="5"/>
      <c r="E201" s="5"/>
    </row>
    <row r="202" spans="4:5" x14ac:dyDescent="0.2">
      <c r="D202" s="5"/>
      <c r="E202" s="5"/>
    </row>
    <row r="203" spans="4:5" x14ac:dyDescent="0.2">
      <c r="D203" s="5"/>
      <c r="E203" s="5"/>
    </row>
    <row r="204" spans="4:5" x14ac:dyDescent="0.2">
      <c r="D204" s="5"/>
      <c r="E204" s="5"/>
    </row>
    <row r="205" spans="4:5" x14ac:dyDescent="0.2">
      <c r="D205" s="5"/>
      <c r="E205" s="5"/>
    </row>
    <row r="206" spans="4:5" x14ac:dyDescent="0.2">
      <c r="D206" s="5"/>
      <c r="E206" s="5"/>
    </row>
    <row r="207" spans="4:5" x14ac:dyDescent="0.2">
      <c r="D207" s="5"/>
      <c r="E207" s="5"/>
    </row>
    <row r="208" spans="4:5" x14ac:dyDescent="0.2">
      <c r="D208" s="5"/>
      <c r="E208" s="5"/>
    </row>
    <row r="209" spans="4:5" x14ac:dyDescent="0.2">
      <c r="D209" s="5"/>
      <c r="E209" s="5"/>
    </row>
    <row r="210" spans="4:5" x14ac:dyDescent="0.2">
      <c r="D210" s="5"/>
      <c r="E210" s="5"/>
    </row>
    <row r="211" spans="4:5" x14ac:dyDescent="0.2">
      <c r="D211" s="5"/>
      <c r="E211" s="5"/>
    </row>
    <row r="212" spans="4:5" x14ac:dyDescent="0.2">
      <c r="D212" s="5"/>
      <c r="E212" s="5"/>
    </row>
    <row r="213" spans="4:5" x14ac:dyDescent="0.2">
      <c r="D213" s="5"/>
      <c r="E213" s="5"/>
    </row>
    <row r="214" spans="4:5" x14ac:dyDescent="0.2">
      <c r="D214" s="5"/>
      <c r="E214" s="5"/>
    </row>
    <row r="215" spans="4:5" x14ac:dyDescent="0.2">
      <c r="D215" s="5"/>
      <c r="E215" s="5"/>
    </row>
    <row r="216" spans="4:5" x14ac:dyDescent="0.2">
      <c r="D216" s="5"/>
      <c r="E216" s="5"/>
    </row>
    <row r="217" spans="4:5" x14ac:dyDescent="0.2">
      <c r="D217" s="5"/>
      <c r="E217" s="5"/>
    </row>
    <row r="218" spans="4:5" x14ac:dyDescent="0.2">
      <c r="D218" s="5"/>
      <c r="E218" s="5"/>
    </row>
    <row r="219" spans="4:5" x14ac:dyDescent="0.2">
      <c r="D219" s="5"/>
      <c r="E219" s="5"/>
    </row>
    <row r="220" spans="4:5" x14ac:dyDescent="0.2">
      <c r="D220" s="5"/>
      <c r="E220" s="5"/>
    </row>
    <row r="221" spans="4:5" x14ac:dyDescent="0.2">
      <c r="D221" s="5"/>
      <c r="E221" s="5"/>
    </row>
    <row r="222" spans="4:5" x14ac:dyDescent="0.2">
      <c r="D222" s="5"/>
      <c r="E222" s="5"/>
    </row>
    <row r="223" spans="4:5" x14ac:dyDescent="0.2">
      <c r="D223" s="5"/>
      <c r="E223" s="5"/>
    </row>
    <row r="224" spans="4:5" x14ac:dyDescent="0.2">
      <c r="D224" s="5"/>
      <c r="E224" s="5"/>
    </row>
    <row r="225" spans="4:5" x14ac:dyDescent="0.2">
      <c r="D225" s="5"/>
      <c r="E225" s="5"/>
    </row>
    <row r="226" spans="4:5" x14ac:dyDescent="0.2">
      <c r="D226" s="5"/>
      <c r="E226" s="5"/>
    </row>
    <row r="227" spans="4:5" x14ac:dyDescent="0.2">
      <c r="D227" s="5"/>
      <c r="E227" s="5"/>
    </row>
    <row r="228" spans="4:5" x14ac:dyDescent="0.2">
      <c r="D228" s="5"/>
      <c r="E228" s="5"/>
    </row>
    <row r="229" spans="4:5" x14ac:dyDescent="0.2">
      <c r="D229" s="5"/>
      <c r="E229" s="5"/>
    </row>
    <row r="230" spans="4:5" x14ac:dyDescent="0.2">
      <c r="D230" s="5"/>
      <c r="E230" s="5"/>
    </row>
    <row r="231" spans="4:5" x14ac:dyDescent="0.2">
      <c r="D231" s="5"/>
      <c r="E231" s="5"/>
    </row>
    <row r="232" spans="4:5" x14ac:dyDescent="0.2">
      <c r="D232" s="5"/>
      <c r="E232" s="5"/>
    </row>
    <row r="233" spans="4:5" x14ac:dyDescent="0.2">
      <c r="D233" s="5"/>
      <c r="E233" s="5"/>
    </row>
    <row r="234" spans="4:5" x14ac:dyDescent="0.2">
      <c r="D234" s="5"/>
      <c r="E234" s="5"/>
    </row>
    <row r="235" spans="4:5" x14ac:dyDescent="0.2">
      <c r="D235" s="5"/>
      <c r="E235" s="5"/>
    </row>
    <row r="236" spans="4:5" x14ac:dyDescent="0.2">
      <c r="D236" s="5"/>
      <c r="E236" s="5"/>
    </row>
    <row r="237" spans="4:5" x14ac:dyDescent="0.2">
      <c r="D237" s="5"/>
      <c r="E237" s="5"/>
    </row>
    <row r="238" spans="4:5" x14ac:dyDescent="0.2">
      <c r="D238" s="5"/>
      <c r="E238" s="5"/>
    </row>
    <row r="239" spans="4:5" x14ac:dyDescent="0.2">
      <c r="D239" s="5"/>
      <c r="E239" s="5"/>
    </row>
    <row r="240" spans="4:5" x14ac:dyDescent="0.2">
      <c r="D240" s="5"/>
      <c r="E240" s="5"/>
    </row>
    <row r="241" spans="4:5" x14ac:dyDescent="0.2">
      <c r="D241" s="5"/>
      <c r="E241" s="5"/>
    </row>
    <row r="242" spans="4:5" x14ac:dyDescent="0.2">
      <c r="D242" s="5"/>
      <c r="E242" s="5"/>
    </row>
    <row r="243" spans="4:5" x14ac:dyDescent="0.2">
      <c r="D243" s="5"/>
      <c r="E243" s="5"/>
    </row>
    <row r="244" spans="4:5" x14ac:dyDescent="0.2">
      <c r="D244" s="5"/>
      <c r="E244" s="5"/>
    </row>
    <row r="245" spans="4:5" x14ac:dyDescent="0.2">
      <c r="D245" s="5"/>
      <c r="E245" s="5"/>
    </row>
    <row r="246" spans="4:5" x14ac:dyDescent="0.2">
      <c r="D246" s="5"/>
      <c r="E246" s="5"/>
    </row>
    <row r="247" spans="4:5" x14ac:dyDescent="0.2">
      <c r="D247" s="5"/>
      <c r="E247" s="5"/>
    </row>
    <row r="248" spans="4:5" x14ac:dyDescent="0.2">
      <c r="D248" s="5"/>
      <c r="E248" s="5"/>
    </row>
    <row r="249" spans="4:5" x14ac:dyDescent="0.2">
      <c r="D249" s="5"/>
      <c r="E249" s="5"/>
    </row>
    <row r="250" spans="4:5" x14ac:dyDescent="0.2">
      <c r="D250" s="5"/>
      <c r="E250" s="5"/>
    </row>
    <row r="251" spans="4:5" x14ac:dyDescent="0.2">
      <c r="D251" s="5"/>
      <c r="E251" s="5"/>
    </row>
    <row r="252" spans="4:5" x14ac:dyDescent="0.2">
      <c r="D252" s="5"/>
      <c r="E252" s="5"/>
    </row>
    <row r="253" spans="4:5" x14ac:dyDescent="0.2">
      <c r="D253" s="5"/>
      <c r="E253" s="5"/>
    </row>
    <row r="254" spans="4:5" x14ac:dyDescent="0.2">
      <c r="D254" s="5"/>
      <c r="E254" s="5"/>
    </row>
    <row r="255" spans="4:5" x14ac:dyDescent="0.2">
      <c r="D255" s="5"/>
      <c r="E255" s="5"/>
    </row>
    <row r="256" spans="4:5" x14ac:dyDescent="0.2">
      <c r="D256" s="5"/>
      <c r="E256" s="5"/>
    </row>
    <row r="257" spans="4:5" x14ac:dyDescent="0.2">
      <c r="D257" s="5"/>
      <c r="E257" s="5"/>
    </row>
    <row r="258" spans="4:5" x14ac:dyDescent="0.2">
      <c r="D258" s="5"/>
      <c r="E258" s="5"/>
    </row>
    <row r="259" spans="4:5" x14ac:dyDescent="0.2">
      <c r="D259" s="5"/>
      <c r="E259" s="5"/>
    </row>
    <row r="260" spans="4:5" x14ac:dyDescent="0.2">
      <c r="D260" s="5"/>
      <c r="E260" s="5"/>
    </row>
    <row r="261" spans="4:5" x14ac:dyDescent="0.2">
      <c r="D261" s="5"/>
      <c r="E261" s="5"/>
    </row>
    <row r="262" spans="4:5" x14ac:dyDescent="0.2">
      <c r="D262" s="5"/>
      <c r="E262" s="5"/>
    </row>
    <row r="263" spans="4:5" x14ac:dyDescent="0.2">
      <c r="D263" s="5"/>
      <c r="E263" s="5"/>
    </row>
    <row r="264" spans="4:5" x14ac:dyDescent="0.2">
      <c r="D264" s="5"/>
      <c r="E264" s="5"/>
    </row>
    <row r="265" spans="4:5" x14ac:dyDescent="0.2">
      <c r="D265" s="5"/>
      <c r="E265" s="5"/>
    </row>
    <row r="266" spans="4:5" x14ac:dyDescent="0.2">
      <c r="D266" s="5"/>
      <c r="E266" s="5"/>
    </row>
    <row r="267" spans="4:5" x14ac:dyDescent="0.2">
      <c r="D267" s="5"/>
      <c r="E267" s="5"/>
    </row>
    <row r="268" spans="4:5" x14ac:dyDescent="0.2">
      <c r="D268" s="5"/>
      <c r="E268" s="5"/>
    </row>
    <row r="269" spans="4:5" x14ac:dyDescent="0.2">
      <c r="D269" s="5"/>
      <c r="E269" s="5"/>
    </row>
    <row r="270" spans="4:5" x14ac:dyDescent="0.2">
      <c r="D270" s="5"/>
      <c r="E270" s="5"/>
    </row>
    <row r="271" spans="4:5" x14ac:dyDescent="0.2">
      <c r="D271" s="5"/>
      <c r="E271" s="5"/>
    </row>
    <row r="272" spans="4:5" x14ac:dyDescent="0.2">
      <c r="D272" s="5"/>
      <c r="E272" s="5"/>
    </row>
    <row r="273" spans="4:5" x14ac:dyDescent="0.2">
      <c r="D273" s="5"/>
      <c r="E273" s="5"/>
    </row>
    <row r="274" spans="4:5" x14ac:dyDescent="0.2">
      <c r="D274" s="5"/>
      <c r="E274" s="5"/>
    </row>
    <row r="275" spans="4:5" x14ac:dyDescent="0.2">
      <c r="D275" s="5"/>
      <c r="E275" s="5"/>
    </row>
    <row r="276" spans="4:5" x14ac:dyDescent="0.2">
      <c r="D276" s="5"/>
      <c r="E276" s="5"/>
    </row>
    <row r="277" spans="4:5" x14ac:dyDescent="0.2">
      <c r="D277" s="5"/>
      <c r="E277" s="5"/>
    </row>
    <row r="278" spans="4:5" x14ac:dyDescent="0.2">
      <c r="D278" s="5"/>
      <c r="E278" s="5"/>
    </row>
    <row r="279" spans="4:5" x14ac:dyDescent="0.2">
      <c r="D279" s="5"/>
      <c r="E279" s="5"/>
    </row>
    <row r="280" spans="4:5" x14ac:dyDescent="0.2">
      <c r="D280" s="5"/>
      <c r="E280" s="5"/>
    </row>
    <row r="281" spans="4:5" x14ac:dyDescent="0.2">
      <c r="D281" s="5"/>
      <c r="E281" s="5"/>
    </row>
    <row r="282" spans="4:5" x14ac:dyDescent="0.2">
      <c r="D282" s="5"/>
      <c r="E282" s="5"/>
    </row>
    <row r="283" spans="4:5" x14ac:dyDescent="0.2">
      <c r="D283" s="5"/>
      <c r="E283" s="5"/>
    </row>
    <row r="284" spans="4:5" x14ac:dyDescent="0.2">
      <c r="D284" s="5"/>
      <c r="E284" s="5"/>
    </row>
    <row r="285" spans="4:5" x14ac:dyDescent="0.2">
      <c r="D285" s="5"/>
      <c r="E285" s="5"/>
    </row>
    <row r="286" spans="4:5" x14ac:dyDescent="0.2">
      <c r="D286" s="5"/>
      <c r="E286" s="5"/>
    </row>
    <row r="287" spans="4:5" x14ac:dyDescent="0.2">
      <c r="D287" s="5"/>
      <c r="E287" s="5"/>
    </row>
    <row r="288" spans="4:5" x14ac:dyDescent="0.2">
      <c r="D288" s="5"/>
      <c r="E288" s="5"/>
    </row>
    <row r="289" spans="4:5" x14ac:dyDescent="0.2">
      <c r="D289" s="5"/>
      <c r="E289" s="5"/>
    </row>
    <row r="290" spans="4:5" x14ac:dyDescent="0.2">
      <c r="D290" s="5"/>
      <c r="E290" s="5"/>
    </row>
    <row r="291" spans="4:5" x14ac:dyDescent="0.2">
      <c r="D291" s="5"/>
      <c r="E291" s="5"/>
    </row>
    <row r="292" spans="4:5" x14ac:dyDescent="0.2">
      <c r="D292" s="5"/>
      <c r="E292" s="5"/>
    </row>
    <row r="293" spans="4:5" x14ac:dyDescent="0.2">
      <c r="D293" s="5"/>
      <c r="E293" s="5"/>
    </row>
    <row r="294" spans="4:5" x14ac:dyDescent="0.2">
      <c r="D294" s="5"/>
      <c r="E294" s="5"/>
    </row>
    <row r="295" spans="4:5" x14ac:dyDescent="0.2">
      <c r="D295" s="5"/>
      <c r="E295" s="5"/>
    </row>
    <row r="296" spans="4:5" x14ac:dyDescent="0.2">
      <c r="D296" s="5"/>
      <c r="E296" s="5"/>
    </row>
    <row r="297" spans="4:5" x14ac:dyDescent="0.2">
      <c r="D297" s="5"/>
      <c r="E297" s="5"/>
    </row>
    <row r="298" spans="4:5" x14ac:dyDescent="0.2">
      <c r="D298" s="5"/>
      <c r="E298" s="5"/>
    </row>
    <row r="299" spans="4:5" x14ac:dyDescent="0.2">
      <c r="D299" s="5"/>
      <c r="E299" s="5"/>
    </row>
    <row r="300" spans="4:5" x14ac:dyDescent="0.2">
      <c r="D300" s="5"/>
      <c r="E300" s="5"/>
    </row>
    <row r="301" spans="4:5" x14ac:dyDescent="0.2">
      <c r="D301" s="5"/>
      <c r="E301" s="5"/>
    </row>
    <row r="302" spans="4:5" x14ac:dyDescent="0.2">
      <c r="D302" s="5"/>
      <c r="E302" s="5"/>
    </row>
    <row r="303" spans="4:5" x14ac:dyDescent="0.2">
      <c r="D303" s="5"/>
      <c r="E303" s="5"/>
    </row>
    <row r="304" spans="4:5" x14ac:dyDescent="0.2">
      <c r="D304" s="5"/>
      <c r="E304" s="5"/>
    </row>
    <row r="305" spans="4:5" x14ac:dyDescent="0.2">
      <c r="D305" s="5"/>
      <c r="E305" s="5"/>
    </row>
    <row r="306" spans="4:5" x14ac:dyDescent="0.2">
      <c r="D306" s="5"/>
      <c r="E306" s="5"/>
    </row>
    <row r="307" spans="4:5" x14ac:dyDescent="0.2">
      <c r="D307" s="5"/>
      <c r="E307" s="5"/>
    </row>
    <row r="308" spans="4:5" x14ac:dyDescent="0.2">
      <c r="D308" s="5"/>
      <c r="E308" s="5"/>
    </row>
    <row r="309" spans="4:5" x14ac:dyDescent="0.2">
      <c r="D309" s="5"/>
      <c r="E309" s="5"/>
    </row>
    <row r="310" spans="4:5" x14ac:dyDescent="0.2">
      <c r="D310" s="5"/>
      <c r="E310" s="5"/>
    </row>
    <row r="311" spans="4:5" x14ac:dyDescent="0.2">
      <c r="D311" s="5"/>
      <c r="E311" s="5"/>
    </row>
    <row r="312" spans="4:5" x14ac:dyDescent="0.2">
      <c r="D312" s="5"/>
      <c r="E312" s="5"/>
    </row>
    <row r="313" spans="4:5" x14ac:dyDescent="0.2">
      <c r="D313" s="5"/>
      <c r="E313" s="5"/>
    </row>
    <row r="314" spans="4:5" x14ac:dyDescent="0.2">
      <c r="D314" s="5"/>
      <c r="E314" s="5"/>
    </row>
    <row r="315" spans="4:5" x14ac:dyDescent="0.2">
      <c r="D315" s="5"/>
      <c r="E315" s="5"/>
    </row>
    <row r="316" spans="4:5" x14ac:dyDescent="0.2">
      <c r="D316" s="5"/>
      <c r="E316" s="5"/>
    </row>
    <row r="317" spans="4:5" x14ac:dyDescent="0.2">
      <c r="D317" s="5"/>
      <c r="E317" s="5"/>
    </row>
    <row r="318" spans="4:5" x14ac:dyDescent="0.2">
      <c r="D318" s="5"/>
      <c r="E318" s="5"/>
    </row>
    <row r="319" spans="4:5" x14ac:dyDescent="0.2">
      <c r="D319" s="5"/>
      <c r="E319" s="5"/>
    </row>
    <row r="320" spans="4:5" x14ac:dyDescent="0.2">
      <c r="D320" s="5"/>
      <c r="E320" s="5"/>
    </row>
    <row r="321" spans="4:5" x14ac:dyDescent="0.2">
      <c r="D321" s="5"/>
      <c r="E321" s="5"/>
    </row>
    <row r="322" spans="4:5" x14ac:dyDescent="0.2">
      <c r="D322" s="5"/>
      <c r="E322" s="5"/>
    </row>
    <row r="323" spans="4:5" x14ac:dyDescent="0.2">
      <c r="D323" s="5"/>
      <c r="E323" s="5"/>
    </row>
    <row r="324" spans="4:5" x14ac:dyDescent="0.2">
      <c r="D324" s="5"/>
      <c r="E324" s="5"/>
    </row>
    <row r="325" spans="4:5" x14ac:dyDescent="0.2">
      <c r="D325" s="5"/>
      <c r="E325" s="5"/>
    </row>
    <row r="326" spans="4:5" x14ac:dyDescent="0.2">
      <c r="D326" s="5"/>
      <c r="E326" s="5"/>
    </row>
    <row r="327" spans="4:5" x14ac:dyDescent="0.2">
      <c r="D327" s="5"/>
      <c r="E327" s="5"/>
    </row>
    <row r="328" spans="4:5" x14ac:dyDescent="0.2">
      <c r="D328" s="5"/>
      <c r="E328" s="5"/>
    </row>
    <row r="329" spans="4:5" x14ac:dyDescent="0.2">
      <c r="D329" s="5"/>
      <c r="E329" s="5"/>
    </row>
    <row r="330" spans="4:5" x14ac:dyDescent="0.2">
      <c r="D330" s="5"/>
      <c r="E330" s="5"/>
    </row>
    <row r="331" spans="4:5" x14ac:dyDescent="0.2">
      <c r="D331" s="5"/>
      <c r="E331" s="5"/>
    </row>
    <row r="332" spans="4:5" x14ac:dyDescent="0.2">
      <c r="D332" s="5"/>
      <c r="E332" s="5"/>
    </row>
    <row r="333" spans="4:5" x14ac:dyDescent="0.2">
      <c r="D333" s="5"/>
      <c r="E333" s="5"/>
    </row>
    <row r="334" spans="4:5" x14ac:dyDescent="0.2">
      <c r="D334" s="5"/>
      <c r="E334" s="5"/>
    </row>
    <row r="335" spans="4:5" x14ac:dyDescent="0.2">
      <c r="D335" s="5"/>
      <c r="E335" s="5"/>
    </row>
    <row r="336" spans="4:5" x14ac:dyDescent="0.2">
      <c r="D336" s="5"/>
      <c r="E336" s="5"/>
    </row>
    <row r="337" spans="4:5" x14ac:dyDescent="0.2">
      <c r="D337" s="5"/>
      <c r="E337" s="5"/>
    </row>
    <row r="338" spans="4:5" x14ac:dyDescent="0.2">
      <c r="D338" s="5"/>
      <c r="E338" s="5"/>
    </row>
    <row r="339" spans="4:5" x14ac:dyDescent="0.2">
      <c r="D339" s="5"/>
      <c r="E339" s="5"/>
    </row>
    <row r="340" spans="4:5" x14ac:dyDescent="0.2">
      <c r="D340" s="5"/>
      <c r="E340" s="5"/>
    </row>
    <row r="341" spans="4:5" x14ac:dyDescent="0.2">
      <c r="D341" s="5"/>
      <c r="E341" s="5"/>
    </row>
    <row r="342" spans="4:5" x14ac:dyDescent="0.2">
      <c r="D342" s="5"/>
      <c r="E342" s="5"/>
    </row>
    <row r="343" spans="4:5" x14ac:dyDescent="0.2">
      <c r="D343" s="5"/>
      <c r="E343" s="5"/>
    </row>
    <row r="344" spans="4:5" x14ac:dyDescent="0.2">
      <c r="D344" s="5"/>
      <c r="E344" s="5"/>
    </row>
    <row r="345" spans="4:5" x14ac:dyDescent="0.2">
      <c r="D345" s="5"/>
      <c r="E345" s="5"/>
    </row>
    <row r="346" spans="4:5" x14ac:dyDescent="0.2">
      <c r="D346" s="5"/>
      <c r="E346" s="5"/>
    </row>
    <row r="347" spans="4:5" x14ac:dyDescent="0.2">
      <c r="D347" s="5"/>
      <c r="E347" s="5"/>
    </row>
    <row r="348" spans="4:5" x14ac:dyDescent="0.2">
      <c r="D348" s="5"/>
      <c r="E348" s="5"/>
    </row>
    <row r="349" spans="4:5" x14ac:dyDescent="0.2">
      <c r="D349" s="5"/>
      <c r="E349" s="5"/>
    </row>
    <row r="350" spans="4:5" x14ac:dyDescent="0.2">
      <c r="D350" s="5"/>
      <c r="E350" s="5"/>
    </row>
    <row r="351" spans="4:5" x14ac:dyDescent="0.2">
      <c r="D351" s="5"/>
      <c r="E351" s="5"/>
    </row>
    <row r="352" spans="4:5" x14ac:dyDescent="0.2">
      <c r="D352" s="5"/>
      <c r="E352" s="5"/>
    </row>
    <row r="353" spans="4:5" x14ac:dyDescent="0.2">
      <c r="D353" s="5"/>
      <c r="E353" s="5"/>
    </row>
    <row r="354" spans="4:5" x14ac:dyDescent="0.2">
      <c r="D354" s="5"/>
      <c r="E354" s="5"/>
    </row>
    <row r="355" spans="4:5" x14ac:dyDescent="0.2">
      <c r="D355" s="5"/>
      <c r="E355" s="5"/>
    </row>
    <row r="356" spans="4:5" x14ac:dyDescent="0.2">
      <c r="D356" s="5"/>
      <c r="E356" s="5"/>
    </row>
    <row r="357" spans="4:5" x14ac:dyDescent="0.2">
      <c r="D357" s="5"/>
      <c r="E357" s="5"/>
    </row>
    <row r="358" spans="4:5" x14ac:dyDescent="0.2">
      <c r="D358" s="5"/>
      <c r="E358" s="5"/>
    </row>
    <row r="359" spans="4:5" x14ac:dyDescent="0.2">
      <c r="D359" s="5"/>
      <c r="E359" s="5"/>
    </row>
    <row r="360" spans="4:5" x14ac:dyDescent="0.2">
      <c r="D360" s="5"/>
      <c r="E360" s="5"/>
    </row>
    <row r="361" spans="4:5" x14ac:dyDescent="0.2">
      <c r="D361" s="5"/>
      <c r="E361" s="5"/>
    </row>
    <row r="362" spans="4:5" x14ac:dyDescent="0.2">
      <c r="D362" s="5"/>
      <c r="E362" s="5"/>
    </row>
    <row r="363" spans="4:5" x14ac:dyDescent="0.2">
      <c r="D363" s="5"/>
      <c r="E363" s="5"/>
    </row>
    <row r="364" spans="4:5" x14ac:dyDescent="0.2">
      <c r="D364" s="5"/>
      <c r="E364" s="5"/>
    </row>
    <row r="365" spans="4:5" x14ac:dyDescent="0.2">
      <c r="D365" s="5"/>
      <c r="E365" s="5"/>
    </row>
    <row r="366" spans="4:5" x14ac:dyDescent="0.2">
      <c r="D366" s="5"/>
      <c r="E366" s="5"/>
    </row>
    <row r="367" spans="4:5" x14ac:dyDescent="0.2">
      <c r="D367" s="5"/>
      <c r="E367" s="5"/>
    </row>
    <row r="368" spans="4:5" x14ac:dyDescent="0.2">
      <c r="D368" s="5"/>
      <c r="E368" s="5"/>
    </row>
    <row r="369" spans="4:5" x14ac:dyDescent="0.2">
      <c r="D369" s="5"/>
      <c r="E369" s="5"/>
    </row>
    <row r="370" spans="4:5" x14ac:dyDescent="0.2">
      <c r="D370" s="5"/>
      <c r="E370" s="5"/>
    </row>
    <row r="371" spans="4:5" x14ac:dyDescent="0.2">
      <c r="D371" s="5"/>
      <c r="E371" s="5"/>
    </row>
    <row r="372" spans="4:5" x14ac:dyDescent="0.2">
      <c r="D372" s="5"/>
      <c r="E372" s="5"/>
    </row>
    <row r="373" spans="4:5" x14ac:dyDescent="0.2">
      <c r="D373" s="5"/>
      <c r="E373" s="5"/>
    </row>
    <row r="374" spans="4:5" x14ac:dyDescent="0.2">
      <c r="D374" s="5"/>
      <c r="E374" s="5"/>
    </row>
    <row r="375" spans="4:5" x14ac:dyDescent="0.2">
      <c r="D375" s="5"/>
      <c r="E375" s="5"/>
    </row>
    <row r="376" spans="4:5" x14ac:dyDescent="0.2">
      <c r="D376" s="5"/>
      <c r="E376" s="5"/>
    </row>
    <row r="377" spans="4:5" x14ac:dyDescent="0.2">
      <c r="D377" s="5"/>
      <c r="E377" s="5"/>
    </row>
    <row r="378" spans="4:5" x14ac:dyDescent="0.2">
      <c r="D378" s="5"/>
      <c r="E378" s="5"/>
    </row>
    <row r="379" spans="4:5" x14ac:dyDescent="0.2">
      <c r="D379" s="5"/>
      <c r="E379" s="5"/>
    </row>
    <row r="380" spans="4:5" x14ac:dyDescent="0.2">
      <c r="D380" s="5"/>
      <c r="E380" s="5"/>
    </row>
    <row r="381" spans="4:5" x14ac:dyDescent="0.2">
      <c r="D381" s="5"/>
      <c r="E381" s="5"/>
    </row>
    <row r="382" spans="4:5" x14ac:dyDescent="0.2">
      <c r="D382" s="5"/>
      <c r="E382" s="5"/>
    </row>
    <row r="383" spans="4:5" x14ac:dyDescent="0.2">
      <c r="D383" s="5"/>
      <c r="E383" s="5"/>
    </row>
    <row r="384" spans="4:5" x14ac:dyDescent="0.2">
      <c r="D384" s="5"/>
      <c r="E384" s="5"/>
    </row>
    <row r="385" spans="4:5" x14ac:dyDescent="0.2">
      <c r="D385" s="5"/>
      <c r="E385" s="5"/>
    </row>
    <row r="386" spans="4:5" x14ac:dyDescent="0.2">
      <c r="D386" s="5"/>
      <c r="E386" s="5"/>
    </row>
    <row r="387" spans="4:5" x14ac:dyDescent="0.2">
      <c r="D387" s="5"/>
      <c r="E387" s="5"/>
    </row>
    <row r="388" spans="4:5" x14ac:dyDescent="0.2">
      <c r="D388" s="5"/>
      <c r="E388" s="5"/>
    </row>
    <row r="389" spans="4:5" x14ac:dyDescent="0.2">
      <c r="D389" s="5"/>
      <c r="E389" s="5"/>
    </row>
    <row r="390" spans="4:5" x14ac:dyDescent="0.2">
      <c r="D390" s="5"/>
      <c r="E390" s="5"/>
    </row>
    <row r="391" spans="4:5" x14ac:dyDescent="0.2">
      <c r="D391" s="5"/>
      <c r="E391" s="5"/>
    </row>
    <row r="392" spans="4:5" x14ac:dyDescent="0.2">
      <c r="D392" s="5"/>
      <c r="E392" s="5"/>
    </row>
    <row r="393" spans="4:5" x14ac:dyDescent="0.2">
      <c r="D393" s="5"/>
      <c r="E393" s="5"/>
    </row>
    <row r="394" spans="4:5" x14ac:dyDescent="0.2">
      <c r="D394" s="5"/>
      <c r="E394" s="5"/>
    </row>
    <row r="395" spans="4:5" x14ac:dyDescent="0.2">
      <c r="D395" s="5"/>
      <c r="E395" s="5"/>
    </row>
    <row r="396" spans="4:5" x14ac:dyDescent="0.2">
      <c r="D396" s="5"/>
      <c r="E396" s="5"/>
    </row>
    <row r="397" spans="4:5" x14ac:dyDescent="0.2">
      <c r="D397" s="5"/>
      <c r="E397" s="5"/>
    </row>
    <row r="398" spans="4:5" x14ac:dyDescent="0.2">
      <c r="D398" s="5"/>
      <c r="E398" s="5"/>
    </row>
    <row r="399" spans="4:5" x14ac:dyDescent="0.2">
      <c r="D399" s="5"/>
      <c r="E399" s="5"/>
    </row>
    <row r="400" spans="4:5" x14ac:dyDescent="0.2">
      <c r="D400" s="5"/>
      <c r="E400" s="5"/>
    </row>
    <row r="401" spans="4:5" x14ac:dyDescent="0.2">
      <c r="D401" s="5"/>
      <c r="E401" s="5"/>
    </row>
    <row r="402" spans="4:5" x14ac:dyDescent="0.2">
      <c r="D402" s="5"/>
      <c r="E402" s="5"/>
    </row>
    <row r="403" spans="4:5" x14ac:dyDescent="0.2">
      <c r="D403" s="5"/>
      <c r="E403" s="5"/>
    </row>
    <row r="404" spans="4:5" x14ac:dyDescent="0.2">
      <c r="D404" s="5"/>
      <c r="E404" s="5"/>
    </row>
    <row r="405" spans="4:5" x14ac:dyDescent="0.2">
      <c r="D405" s="5"/>
      <c r="E405" s="5"/>
    </row>
    <row r="406" spans="4:5" x14ac:dyDescent="0.2">
      <c r="D406" s="5"/>
      <c r="E406" s="5"/>
    </row>
    <row r="407" spans="4:5" x14ac:dyDescent="0.2">
      <c r="D407" s="5"/>
      <c r="E407" s="5"/>
    </row>
    <row r="408" spans="4:5" x14ac:dyDescent="0.2">
      <c r="D408" s="5"/>
      <c r="E408" s="5"/>
    </row>
    <row r="409" spans="4:5" x14ac:dyDescent="0.2">
      <c r="D409" s="5"/>
      <c r="E409" s="5"/>
    </row>
    <row r="410" spans="4:5" x14ac:dyDescent="0.2">
      <c r="D410" s="5"/>
      <c r="E410" s="5"/>
    </row>
    <row r="411" spans="4:5" x14ac:dyDescent="0.2">
      <c r="D411" s="5"/>
      <c r="E411" s="5"/>
    </row>
    <row r="412" spans="4:5" x14ac:dyDescent="0.2">
      <c r="D412" s="5"/>
      <c r="E412" s="5"/>
    </row>
    <row r="413" spans="4:5" x14ac:dyDescent="0.2">
      <c r="D413" s="5"/>
      <c r="E413" s="5"/>
    </row>
    <row r="414" spans="4:5" x14ac:dyDescent="0.2">
      <c r="D414" s="5"/>
      <c r="E414" s="5"/>
    </row>
    <row r="415" spans="4:5" x14ac:dyDescent="0.2">
      <c r="D415" s="5"/>
      <c r="E415" s="5"/>
    </row>
    <row r="416" spans="4:5" x14ac:dyDescent="0.2">
      <c r="D416" s="5"/>
      <c r="E416" s="5"/>
    </row>
    <row r="417" spans="4:5" x14ac:dyDescent="0.2">
      <c r="D417" s="5"/>
      <c r="E417" s="5"/>
    </row>
    <row r="418" spans="4:5" x14ac:dyDescent="0.2">
      <c r="D418" s="5"/>
      <c r="E418" s="5"/>
    </row>
    <row r="419" spans="4:5" x14ac:dyDescent="0.2">
      <c r="D419" s="5"/>
      <c r="E419" s="5"/>
    </row>
    <row r="420" spans="4:5" x14ac:dyDescent="0.2">
      <c r="D420" s="5"/>
      <c r="E420" s="5"/>
    </row>
    <row r="421" spans="4:5" x14ac:dyDescent="0.2">
      <c r="D421" s="5"/>
      <c r="E421" s="5"/>
    </row>
    <row r="422" spans="4:5" x14ac:dyDescent="0.2">
      <c r="D422" s="5"/>
      <c r="E422" s="5"/>
    </row>
    <row r="423" spans="4:5" x14ac:dyDescent="0.2">
      <c r="D423" s="5"/>
      <c r="E423" s="5"/>
    </row>
    <row r="424" spans="4:5" x14ac:dyDescent="0.2">
      <c r="D424" s="5"/>
      <c r="E424" s="5"/>
    </row>
    <row r="425" spans="4:5" x14ac:dyDescent="0.2">
      <c r="D425" s="5"/>
      <c r="E425" s="5"/>
    </row>
    <row r="426" spans="4:5" x14ac:dyDescent="0.2">
      <c r="D426" s="5"/>
      <c r="E426" s="5"/>
    </row>
    <row r="427" spans="4:5" x14ac:dyDescent="0.2">
      <c r="D427" s="5"/>
      <c r="E427" s="5"/>
    </row>
    <row r="428" spans="4:5" x14ac:dyDescent="0.2">
      <c r="D428" s="5"/>
      <c r="E428" s="5"/>
    </row>
    <row r="429" spans="4:5" x14ac:dyDescent="0.2">
      <c r="D429" s="5"/>
      <c r="E429" s="5"/>
    </row>
    <row r="430" spans="4:5" x14ac:dyDescent="0.2">
      <c r="D430" s="5"/>
      <c r="E430" s="5"/>
    </row>
    <row r="431" spans="4:5" x14ac:dyDescent="0.2">
      <c r="D431" s="5"/>
      <c r="E431" s="5"/>
    </row>
    <row r="432" spans="4:5" x14ac:dyDescent="0.2">
      <c r="D432" s="5"/>
      <c r="E432" s="5"/>
    </row>
    <row r="433" spans="4:5" x14ac:dyDescent="0.2">
      <c r="D433" s="5"/>
      <c r="E433" s="5"/>
    </row>
    <row r="434" spans="4:5" x14ac:dyDescent="0.2">
      <c r="D434" s="5"/>
      <c r="E434" s="5"/>
    </row>
    <row r="435" spans="4:5" x14ac:dyDescent="0.2">
      <c r="D435" s="5"/>
      <c r="E435" s="5"/>
    </row>
    <row r="436" spans="4:5" x14ac:dyDescent="0.2">
      <c r="D436" s="5"/>
      <c r="E436" s="5"/>
    </row>
    <row r="437" spans="4:5" x14ac:dyDescent="0.2">
      <c r="D437" s="5"/>
      <c r="E437" s="5"/>
    </row>
    <row r="438" spans="4:5" x14ac:dyDescent="0.2">
      <c r="D438" s="5"/>
      <c r="E438" s="5"/>
    </row>
    <row r="439" spans="4:5" x14ac:dyDescent="0.2">
      <c r="D439" s="5"/>
      <c r="E439" s="5"/>
    </row>
    <row r="440" spans="4:5" x14ac:dyDescent="0.2">
      <c r="D440" s="5"/>
      <c r="E440" s="5"/>
    </row>
    <row r="441" spans="4:5" x14ac:dyDescent="0.2">
      <c r="D441" s="5"/>
      <c r="E441" s="5"/>
    </row>
    <row r="442" spans="4:5" x14ac:dyDescent="0.2">
      <c r="D442" s="5"/>
      <c r="E442" s="5"/>
    </row>
    <row r="443" spans="4:5" x14ac:dyDescent="0.2">
      <c r="D443" s="5"/>
      <c r="E443" s="5"/>
    </row>
    <row r="444" spans="4:5" x14ac:dyDescent="0.2">
      <c r="D444" s="5"/>
      <c r="E444" s="5"/>
    </row>
    <row r="445" spans="4:5" x14ac:dyDescent="0.2">
      <c r="D445" s="5"/>
      <c r="E445" s="5"/>
    </row>
    <row r="446" spans="4:5" x14ac:dyDescent="0.2">
      <c r="D446" s="5"/>
      <c r="E446" s="5"/>
    </row>
    <row r="447" spans="4:5" x14ac:dyDescent="0.2">
      <c r="D447" s="5"/>
      <c r="E447" s="5"/>
    </row>
    <row r="448" spans="4:5" x14ac:dyDescent="0.2">
      <c r="D448" s="5"/>
      <c r="E448" s="5"/>
    </row>
    <row r="449" spans="4:5" x14ac:dyDescent="0.2">
      <c r="D449" s="5"/>
      <c r="E449" s="5"/>
    </row>
    <row r="450" spans="4:5" x14ac:dyDescent="0.2">
      <c r="D450" s="5"/>
      <c r="E450" s="5"/>
    </row>
    <row r="451" spans="4:5" x14ac:dyDescent="0.2">
      <c r="D451" s="5"/>
      <c r="E451" s="5"/>
    </row>
    <row r="452" spans="4:5" x14ac:dyDescent="0.2">
      <c r="D452" s="5"/>
      <c r="E452" s="5"/>
    </row>
    <row r="453" spans="4:5" x14ac:dyDescent="0.2">
      <c r="D453" s="5"/>
      <c r="E453" s="5"/>
    </row>
    <row r="454" spans="4:5" x14ac:dyDescent="0.2">
      <c r="D454" s="5"/>
      <c r="E454" s="5"/>
    </row>
    <row r="455" spans="4:5" x14ac:dyDescent="0.2">
      <c r="D455" s="5"/>
      <c r="E455" s="5"/>
    </row>
    <row r="456" spans="4:5" x14ac:dyDescent="0.2">
      <c r="D456" s="5"/>
      <c r="E456" s="5"/>
    </row>
    <row r="457" spans="4:5" x14ac:dyDescent="0.2">
      <c r="D457" s="5"/>
      <c r="E457" s="5"/>
    </row>
    <row r="458" spans="4:5" x14ac:dyDescent="0.2">
      <c r="D458" s="5"/>
      <c r="E458" s="5"/>
    </row>
    <row r="459" spans="4:5" x14ac:dyDescent="0.2">
      <c r="D459" s="5"/>
      <c r="E459" s="5"/>
    </row>
    <row r="460" spans="4:5" x14ac:dyDescent="0.2">
      <c r="D460" s="5"/>
      <c r="E460" s="5"/>
    </row>
    <row r="461" spans="4:5" x14ac:dyDescent="0.2">
      <c r="D461" s="5"/>
      <c r="E461" s="5"/>
    </row>
    <row r="462" spans="4:5" x14ac:dyDescent="0.2">
      <c r="D462" s="5"/>
      <c r="E462" s="5"/>
    </row>
    <row r="463" spans="4:5" x14ac:dyDescent="0.2">
      <c r="D463" s="5"/>
      <c r="E463" s="5"/>
    </row>
    <row r="464" spans="4:5" x14ac:dyDescent="0.2">
      <c r="D464" s="5"/>
      <c r="E464" s="5"/>
    </row>
    <row r="465" spans="4:5" x14ac:dyDescent="0.2">
      <c r="D465" s="5"/>
      <c r="E465" s="5"/>
    </row>
    <row r="466" spans="4:5" x14ac:dyDescent="0.2">
      <c r="D466" s="5"/>
      <c r="E466" s="5"/>
    </row>
    <row r="467" spans="4:5" x14ac:dyDescent="0.2">
      <c r="D467" s="5"/>
      <c r="E467" s="5"/>
    </row>
    <row r="468" spans="4:5" x14ac:dyDescent="0.2">
      <c r="D468" s="5"/>
      <c r="E468" s="5"/>
    </row>
    <row r="469" spans="4:5" x14ac:dyDescent="0.2">
      <c r="D469" s="5"/>
      <c r="E469" s="5"/>
    </row>
    <row r="470" spans="4:5" x14ac:dyDescent="0.2">
      <c r="D470" s="5"/>
      <c r="E470" s="5"/>
    </row>
    <row r="471" spans="4:5" x14ac:dyDescent="0.2">
      <c r="D471" s="5"/>
      <c r="E471" s="5"/>
    </row>
    <row r="472" spans="4:5" x14ac:dyDescent="0.2">
      <c r="D472" s="5"/>
      <c r="E472" s="5"/>
    </row>
    <row r="473" spans="4:5" x14ac:dyDescent="0.2">
      <c r="D473" s="5"/>
      <c r="E473" s="5"/>
    </row>
    <row r="474" spans="4:5" x14ac:dyDescent="0.2">
      <c r="D474" s="5"/>
      <c r="E474" s="5"/>
    </row>
    <row r="475" spans="4:5" x14ac:dyDescent="0.2">
      <c r="D475" s="5"/>
      <c r="E475" s="5"/>
    </row>
    <row r="476" spans="4:5" x14ac:dyDescent="0.2">
      <c r="D476" s="5"/>
      <c r="E476" s="5"/>
    </row>
    <row r="477" spans="4:5" x14ac:dyDescent="0.2">
      <c r="D477" s="5"/>
      <c r="E477" s="5"/>
    </row>
    <row r="478" spans="4:5" x14ac:dyDescent="0.2">
      <c r="D478" s="5"/>
      <c r="E478" s="5"/>
    </row>
    <row r="479" spans="4:5" x14ac:dyDescent="0.2">
      <c r="D479" s="5"/>
      <c r="E479" s="5"/>
    </row>
    <row r="480" spans="4:5" x14ac:dyDescent="0.2">
      <c r="D480" s="5"/>
      <c r="E480" s="5"/>
    </row>
    <row r="481" spans="4:5" x14ac:dyDescent="0.2">
      <c r="D481" s="5"/>
      <c r="E481" s="5"/>
    </row>
    <row r="482" spans="4:5" x14ac:dyDescent="0.2">
      <c r="D482" s="5"/>
      <c r="E482" s="5"/>
    </row>
    <row r="483" spans="4:5" x14ac:dyDescent="0.2">
      <c r="D483" s="5"/>
      <c r="E483" s="5"/>
    </row>
    <row r="484" spans="4:5" x14ac:dyDescent="0.2">
      <c r="D484" s="5"/>
      <c r="E484" s="5"/>
    </row>
    <row r="485" spans="4:5" x14ac:dyDescent="0.2">
      <c r="D485" s="5"/>
      <c r="E485" s="5"/>
    </row>
  </sheetData>
  <mergeCells count="13">
    <mergeCell ref="B50:E50"/>
    <mergeCell ref="A1:E1"/>
    <mergeCell ref="A3:E3"/>
    <mergeCell ref="C4:C6"/>
    <mergeCell ref="A4:B6"/>
    <mergeCell ref="B36:E36"/>
    <mergeCell ref="A2:E2"/>
    <mergeCell ref="B35:E35"/>
    <mergeCell ref="B39:E39"/>
    <mergeCell ref="B40:E40"/>
    <mergeCell ref="B44:E44"/>
    <mergeCell ref="B45:E45"/>
    <mergeCell ref="B49:E49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54"/>
  <sheetViews>
    <sheetView tabSelected="1" workbookViewId="0">
      <selection activeCell="J12" sqref="J12"/>
    </sheetView>
  </sheetViews>
  <sheetFormatPr defaultColWidth="9.140625" defaultRowHeight="12.75" x14ac:dyDescent="0.2"/>
  <cols>
    <col min="1" max="1" width="43.85546875" style="1" customWidth="1"/>
    <col min="2" max="2" width="8" style="1" customWidth="1"/>
    <col min="3" max="3" width="17.28515625" style="1" customWidth="1"/>
    <col min="4" max="4" width="16.85546875" style="1" customWidth="1"/>
    <col min="5" max="5" width="22.140625" style="1" customWidth="1"/>
    <col min="6" max="9" width="9.140625" style="1"/>
    <col min="10" max="10" width="11.85546875" style="1" bestFit="1" customWidth="1"/>
    <col min="11" max="16384" width="9.140625" style="1"/>
  </cols>
  <sheetData>
    <row r="1" spans="1:5" x14ac:dyDescent="0.2">
      <c r="A1" s="805" t="str">
        <f>'MCA PL'!A1:E1</f>
        <v>GAYATRI VIDYA PARISHAD COLLEGE FOR DEGREE AND P.G. COURSES (AUTONOMOUS) VISAKHAPATNAM</v>
      </c>
      <c r="B1" s="805"/>
      <c r="C1" s="805"/>
      <c r="D1" s="805"/>
      <c r="E1" s="805"/>
    </row>
    <row r="2" spans="1:5" ht="15.75" x14ac:dyDescent="0.25">
      <c r="A2" s="761" t="s">
        <v>626</v>
      </c>
      <c r="B2" s="761"/>
      <c r="C2" s="761"/>
      <c r="D2" s="761"/>
      <c r="E2" s="761"/>
    </row>
    <row r="3" spans="1:5" ht="15" customHeight="1" x14ac:dyDescent="0.2">
      <c r="A3" s="762" t="s">
        <v>662</v>
      </c>
      <c r="B3" s="762"/>
      <c r="C3" s="762"/>
      <c r="D3" s="762"/>
      <c r="E3" s="762"/>
    </row>
    <row r="4" spans="1:5" ht="9" customHeight="1" thickBot="1" x14ac:dyDescent="0.3">
      <c r="A4" s="786" t="s">
        <v>0</v>
      </c>
      <c r="B4" s="786"/>
      <c r="C4" s="786"/>
      <c r="D4" s="786"/>
      <c r="E4" s="786"/>
    </row>
    <row r="5" spans="1:5" ht="15.75" x14ac:dyDescent="0.25">
      <c r="A5" s="753" t="s">
        <v>422</v>
      </c>
      <c r="B5" s="812"/>
      <c r="C5" s="810" t="s">
        <v>1</v>
      </c>
      <c r="D5" s="224" t="s">
        <v>2</v>
      </c>
      <c r="E5" s="226" t="s">
        <v>2</v>
      </c>
    </row>
    <row r="6" spans="1:5" ht="15.75" x14ac:dyDescent="0.25">
      <c r="A6" s="755"/>
      <c r="B6" s="813"/>
      <c r="C6" s="811"/>
      <c r="D6" s="183" t="str">
        <f>+'MBA PL '!C7</f>
        <v>31.03.2025</v>
      </c>
      <c r="E6" s="227" t="str">
        <f>+'MBA PL '!E7</f>
        <v>31.03.2024</v>
      </c>
    </row>
    <row r="7" spans="1:5" ht="15.75" x14ac:dyDescent="0.2">
      <c r="A7" s="757"/>
      <c r="B7" s="814"/>
      <c r="C7" s="811"/>
      <c r="D7" s="664" t="s">
        <v>556</v>
      </c>
      <c r="E7" s="525" t="s">
        <v>547</v>
      </c>
    </row>
    <row r="8" spans="1:5" ht="15.75" x14ac:dyDescent="0.25">
      <c r="A8" s="220"/>
      <c r="B8" s="707"/>
      <c r="C8" s="350"/>
      <c r="D8" s="185"/>
      <c r="E8" s="228"/>
    </row>
    <row r="9" spans="1:5" ht="15.75" x14ac:dyDescent="0.25">
      <c r="A9" s="225" t="s">
        <v>4</v>
      </c>
      <c r="B9" s="707"/>
      <c r="C9" s="350"/>
      <c r="D9" s="232"/>
      <c r="E9" s="229"/>
    </row>
    <row r="10" spans="1:5" ht="15.75" x14ac:dyDescent="0.25">
      <c r="A10" s="221" t="s">
        <v>137</v>
      </c>
      <c r="B10" s="708" t="s">
        <v>0</v>
      </c>
      <c r="C10" s="235">
        <v>1</v>
      </c>
      <c r="D10" s="233">
        <f>+'MCA Schedules'!D10</f>
        <v>12649350.220000001</v>
      </c>
      <c r="E10" s="230">
        <f>+'MCA Schedules'!F10</f>
        <v>10967205</v>
      </c>
    </row>
    <row r="11" spans="1:5" ht="15.75" customHeight="1" x14ac:dyDescent="0.25">
      <c r="A11" s="221"/>
      <c r="B11" s="708"/>
      <c r="C11" s="235"/>
      <c r="D11" s="234"/>
      <c r="E11" s="231"/>
    </row>
    <row r="12" spans="1:5" ht="15.75" x14ac:dyDescent="0.25">
      <c r="A12" s="221"/>
      <c r="B12" s="708"/>
      <c r="C12" s="235"/>
      <c r="D12" s="234"/>
      <c r="E12" s="231"/>
    </row>
    <row r="13" spans="1:5" ht="15.75" x14ac:dyDescent="0.25">
      <c r="A13" s="221" t="s">
        <v>656</v>
      </c>
      <c r="B13" s="708"/>
      <c r="C13" s="235">
        <v>2</v>
      </c>
      <c r="D13" s="347">
        <f>+'MCA Schedules'!D13</f>
        <v>-4303373</v>
      </c>
      <c r="E13" s="845">
        <f>+'MCA Schedules'!F12</f>
        <v>1682145.58</v>
      </c>
    </row>
    <row r="14" spans="1:5" ht="15.75" x14ac:dyDescent="0.25">
      <c r="A14" s="221"/>
      <c r="B14" s="708"/>
      <c r="C14" s="235"/>
      <c r="D14" s="234"/>
      <c r="E14" s="231"/>
    </row>
    <row r="15" spans="1:5" ht="15.75" x14ac:dyDescent="0.25">
      <c r="A15" s="526"/>
      <c r="B15" s="708"/>
      <c r="C15" s="235"/>
      <c r="D15" s="233"/>
      <c r="E15" s="230"/>
    </row>
    <row r="16" spans="1:5" ht="15.75" x14ac:dyDescent="0.25">
      <c r="A16" s="221" t="s">
        <v>470</v>
      </c>
      <c r="B16" s="708"/>
      <c r="C16" s="235">
        <v>3</v>
      </c>
      <c r="D16" s="233">
        <f>+'MCA Schedules'!D17</f>
        <v>0</v>
      </c>
      <c r="E16" s="230">
        <f>+'MCA Schedules'!F17</f>
        <v>0</v>
      </c>
    </row>
    <row r="17" spans="1:10" ht="15.75" x14ac:dyDescent="0.25">
      <c r="A17" s="221"/>
      <c r="B17" s="708"/>
      <c r="C17" s="235"/>
      <c r="D17" s="233"/>
      <c r="E17" s="230"/>
    </row>
    <row r="18" spans="1:10" ht="15.75" x14ac:dyDescent="0.25">
      <c r="A18" s="221" t="s">
        <v>471</v>
      </c>
      <c r="B18" s="708"/>
      <c r="C18" s="235">
        <v>4</v>
      </c>
      <c r="D18" s="233">
        <f>+'MCA Schedules'!D21</f>
        <v>0</v>
      </c>
      <c r="E18" s="230">
        <f>+'MCA Schedules'!F21</f>
        <v>0</v>
      </c>
    </row>
    <row r="19" spans="1:10" ht="15.75" x14ac:dyDescent="0.25">
      <c r="A19" s="221"/>
      <c r="B19" s="708"/>
      <c r="C19" s="235"/>
      <c r="D19" s="233"/>
      <c r="E19" s="230"/>
    </row>
    <row r="20" spans="1:10" ht="15.75" x14ac:dyDescent="0.25">
      <c r="A20" s="221" t="s">
        <v>472</v>
      </c>
      <c r="B20" s="708"/>
      <c r="C20" s="235">
        <v>5</v>
      </c>
      <c r="D20" s="233">
        <f>+'MCA Schedules'!D28</f>
        <v>18680657.5</v>
      </c>
      <c r="E20" s="230">
        <f>+'MCA Schedules'!F28</f>
        <v>18302952</v>
      </c>
    </row>
    <row r="21" spans="1:10" ht="15.75" x14ac:dyDescent="0.25">
      <c r="A21" s="223"/>
      <c r="B21" s="708"/>
      <c r="C21" s="235"/>
      <c r="D21" s="233"/>
      <c r="E21" s="230"/>
      <c r="J21" s="624">
        <f>D22-D13</f>
        <v>31330007.719999999</v>
      </c>
    </row>
    <row r="22" spans="1:10" ht="16.5" thickBot="1" x14ac:dyDescent="0.3">
      <c r="A22" s="471" t="s">
        <v>54</v>
      </c>
      <c r="B22" s="469"/>
      <c r="C22" s="468"/>
      <c r="D22" s="394">
        <f>SUM(D10:D20)</f>
        <v>27026634.719999999</v>
      </c>
      <c r="E22" s="395">
        <f>SUM(E10:E20)</f>
        <v>30952302.579999998</v>
      </c>
      <c r="J22" s="624"/>
    </row>
    <row r="23" spans="1:10" ht="15.75" x14ac:dyDescent="0.25">
      <c r="A23" s="222"/>
      <c r="B23" s="708"/>
      <c r="C23" s="235"/>
      <c r="D23" s="233"/>
      <c r="E23" s="230"/>
    </row>
    <row r="24" spans="1:10" ht="15.75" x14ac:dyDescent="0.25">
      <c r="A24" s="223" t="s">
        <v>5</v>
      </c>
      <c r="B24" s="708"/>
      <c r="C24" s="235"/>
      <c r="D24" s="233"/>
      <c r="E24" s="231"/>
    </row>
    <row r="25" spans="1:10" ht="12" customHeight="1" x14ac:dyDescent="0.25">
      <c r="A25" s="221"/>
      <c r="B25" s="708"/>
      <c r="C25" s="235"/>
      <c r="D25" s="233"/>
      <c r="E25" s="231"/>
    </row>
    <row r="26" spans="1:10" ht="15.75" x14ac:dyDescent="0.25">
      <c r="A26" s="221" t="s">
        <v>473</v>
      </c>
      <c r="B26" s="708"/>
      <c r="C26" s="235">
        <v>6</v>
      </c>
      <c r="D26" s="233">
        <f>+'MCA Schedules'!D32</f>
        <v>5266524</v>
      </c>
      <c r="E26" s="231">
        <f>+'MCA Schedules'!F30</f>
        <v>5966795</v>
      </c>
    </row>
    <row r="27" spans="1:10" ht="15.75" x14ac:dyDescent="0.25">
      <c r="A27" s="221"/>
      <c r="B27" s="710"/>
      <c r="C27" s="235"/>
      <c r="D27" s="233"/>
      <c r="E27" s="230"/>
    </row>
    <row r="28" spans="1:10" ht="15.75" x14ac:dyDescent="0.25">
      <c r="A28" s="221" t="s">
        <v>474</v>
      </c>
      <c r="B28" s="710"/>
      <c r="C28" s="235">
        <v>7</v>
      </c>
      <c r="D28" s="233">
        <f>+'MCA Schedules'!D37</f>
        <v>6118517</v>
      </c>
      <c r="E28" s="230">
        <f>+'MCA Schedules'!F37</f>
        <v>6023868</v>
      </c>
    </row>
    <row r="29" spans="1:10" ht="15.75" x14ac:dyDescent="0.25">
      <c r="A29" s="221"/>
      <c r="B29" s="710"/>
      <c r="C29" s="235"/>
      <c r="D29" s="233"/>
      <c r="E29" s="231"/>
    </row>
    <row r="30" spans="1:10" ht="15.75" x14ac:dyDescent="0.25">
      <c r="A30" s="221" t="s">
        <v>590</v>
      </c>
      <c r="B30" s="710"/>
      <c r="C30" s="235">
        <v>8</v>
      </c>
      <c r="D30" s="233">
        <f>+'MCA Schedules'!D43</f>
        <v>14671467.4</v>
      </c>
      <c r="E30" s="231">
        <f>+'MCA Schedules'!F43</f>
        <v>12116124</v>
      </c>
      <c r="H30" s="624"/>
    </row>
    <row r="31" spans="1:10" ht="15.75" x14ac:dyDescent="0.25">
      <c r="A31" s="222"/>
      <c r="B31" s="710"/>
      <c r="C31" s="235"/>
      <c r="D31" s="233"/>
      <c r="E31" s="230"/>
    </row>
    <row r="32" spans="1:10" ht="15.75" x14ac:dyDescent="0.25">
      <c r="A32" s="221" t="s">
        <v>475</v>
      </c>
      <c r="B32" s="710"/>
      <c r="C32" s="235">
        <v>9</v>
      </c>
      <c r="D32" s="233">
        <f>+'MCA Schedules'!D47</f>
        <v>970126.32</v>
      </c>
      <c r="E32" s="231">
        <f>+'MCA Schedules'!F47</f>
        <v>6845515.3200000003</v>
      </c>
    </row>
    <row r="33" spans="1:6" ht="15.75" x14ac:dyDescent="0.25">
      <c r="A33" s="223"/>
      <c r="B33" s="710"/>
      <c r="C33" s="235"/>
      <c r="D33" s="233"/>
      <c r="E33" s="231"/>
    </row>
    <row r="34" spans="1:6" ht="16.5" thickBot="1" x14ac:dyDescent="0.3">
      <c r="A34" s="527" t="s">
        <v>54</v>
      </c>
      <c r="B34" s="528"/>
      <c r="C34" s="529"/>
      <c r="D34" s="394">
        <f>SUM(D26:D32)</f>
        <v>27026634.719999999</v>
      </c>
      <c r="E34" s="395">
        <f>SUM(E26:E32)</f>
        <v>30952302.32</v>
      </c>
    </row>
    <row r="35" spans="1:6" ht="15.75" x14ac:dyDescent="0.25">
      <c r="A35" s="12"/>
      <c r="B35" s="17"/>
      <c r="C35" s="15"/>
      <c r="D35" s="12"/>
      <c r="E35" s="17"/>
    </row>
    <row r="36" spans="1:6" s="214" customFormat="1" ht="15.75" x14ac:dyDescent="0.25">
      <c r="A36" s="11" t="s">
        <v>589</v>
      </c>
      <c r="B36" s="17"/>
      <c r="C36" s="15"/>
      <c r="D36" s="12"/>
      <c r="E36" s="17"/>
    </row>
    <row r="37" spans="1:6" s="214" customFormat="1" ht="15.75" x14ac:dyDescent="0.25">
      <c r="A37" s="11" t="s">
        <v>0</v>
      </c>
      <c r="B37" s="770" t="s">
        <v>546</v>
      </c>
      <c r="C37" s="770"/>
      <c r="D37" s="770"/>
      <c r="E37" s="770"/>
    </row>
    <row r="38" spans="1:6" s="214" customFormat="1" ht="15.75" x14ac:dyDescent="0.25">
      <c r="A38" s="11" t="s">
        <v>552</v>
      </c>
      <c r="B38" s="765" t="s">
        <v>627</v>
      </c>
      <c r="C38" s="765"/>
      <c r="D38" s="765"/>
      <c r="E38" s="765"/>
    </row>
    <row r="39" spans="1:6" s="214" customFormat="1" ht="15.75" x14ac:dyDescent="0.25">
      <c r="A39" s="11"/>
      <c r="B39" s="12"/>
      <c r="C39" s="12"/>
      <c r="D39" s="14"/>
      <c r="E39" s="11"/>
    </row>
    <row r="40" spans="1:6" s="214" customFormat="1" ht="15.75" x14ac:dyDescent="0.25">
      <c r="A40" s="2"/>
      <c r="B40" s="12"/>
      <c r="C40" s="12"/>
      <c r="D40" s="147"/>
      <c r="E40" s="11"/>
    </row>
    <row r="41" spans="1:6" ht="15.75" x14ac:dyDescent="0.25">
      <c r="A41" s="348" t="s">
        <v>681</v>
      </c>
      <c r="B41" s="761" t="s">
        <v>682</v>
      </c>
      <c r="C41" s="761"/>
      <c r="D41" s="761"/>
      <c r="E41" s="761"/>
      <c r="F41" s="15"/>
    </row>
    <row r="42" spans="1:6" ht="15.75" x14ac:dyDescent="0.25">
      <c r="A42" s="177" t="s">
        <v>416</v>
      </c>
      <c r="B42" s="761" t="s">
        <v>671</v>
      </c>
      <c r="C42" s="761"/>
      <c r="D42" s="761"/>
      <c r="E42" s="761"/>
      <c r="F42" s="90"/>
    </row>
    <row r="43" spans="1:6" ht="15.75" x14ac:dyDescent="0.25">
      <c r="A43" s="11" t="s">
        <v>684</v>
      </c>
      <c r="B43" s="12"/>
      <c r="C43" s="13"/>
      <c r="D43" s="14"/>
      <c r="E43" s="14"/>
      <c r="F43" s="90"/>
    </row>
    <row r="44" spans="1:6" ht="15.75" x14ac:dyDescent="0.25">
      <c r="A44" s="11"/>
      <c r="B44" s="12"/>
      <c r="C44" s="11"/>
      <c r="D44" s="11"/>
      <c r="E44" s="11"/>
      <c r="F44" s="90"/>
    </row>
    <row r="45" spans="1:6" ht="15.75" x14ac:dyDescent="0.25">
      <c r="A45" s="11"/>
      <c r="B45" s="11"/>
      <c r="C45" s="11"/>
      <c r="D45" s="11"/>
      <c r="E45" s="11"/>
      <c r="F45" s="90"/>
    </row>
    <row r="46" spans="1:6" ht="15.75" x14ac:dyDescent="0.25">
      <c r="A46" s="11"/>
      <c r="B46" s="762" t="s">
        <v>683</v>
      </c>
      <c r="C46" s="762"/>
      <c r="D46" s="762"/>
      <c r="E46" s="762"/>
      <c r="F46" s="90"/>
    </row>
    <row r="47" spans="1:6" ht="15.75" x14ac:dyDescent="0.25">
      <c r="A47" s="11"/>
      <c r="B47" s="763" t="s">
        <v>621</v>
      </c>
      <c r="C47" s="763"/>
      <c r="D47" s="763"/>
      <c r="E47" s="763"/>
      <c r="F47" s="90"/>
    </row>
    <row r="48" spans="1:6" ht="15.75" x14ac:dyDescent="0.25">
      <c r="A48" s="348" t="s">
        <v>686</v>
      </c>
      <c r="B48" s="11"/>
      <c r="C48" s="11"/>
      <c r="D48" s="11"/>
      <c r="E48" s="11"/>
      <c r="F48" s="90"/>
    </row>
    <row r="49" spans="1:6" ht="15.75" x14ac:dyDescent="0.25">
      <c r="A49" s="148" t="s">
        <v>687</v>
      </c>
      <c r="B49" s="11"/>
      <c r="C49" s="11"/>
      <c r="D49" s="11"/>
      <c r="E49" s="11"/>
      <c r="F49" s="90"/>
    </row>
    <row r="50" spans="1:6" ht="15.75" x14ac:dyDescent="0.25">
      <c r="A50" s="11" t="s">
        <v>688</v>
      </c>
      <c r="B50" s="11"/>
      <c r="C50" s="11"/>
      <c r="D50" s="11"/>
      <c r="E50" s="11"/>
      <c r="F50" s="90"/>
    </row>
    <row r="51" spans="1:6" ht="15.75" x14ac:dyDescent="0.25">
      <c r="A51" s="148" t="s">
        <v>419</v>
      </c>
      <c r="B51" s="764" t="s">
        <v>685</v>
      </c>
      <c r="C51" s="764"/>
      <c r="D51" s="764"/>
      <c r="E51" s="764"/>
      <c r="F51" s="16"/>
    </row>
    <row r="52" spans="1:6" ht="15.75" x14ac:dyDescent="0.25">
      <c r="A52" s="148" t="s">
        <v>690</v>
      </c>
      <c r="B52" s="748" t="s">
        <v>622</v>
      </c>
      <c r="C52" s="748"/>
      <c r="D52" s="748"/>
      <c r="E52" s="748"/>
      <c r="F52" s="16"/>
    </row>
    <row r="53" spans="1:6" x14ac:dyDescent="0.2">
      <c r="A53" s="5"/>
      <c r="B53" s="5"/>
      <c r="C53" s="5"/>
      <c r="D53" s="5"/>
      <c r="E53" s="5"/>
    </row>
    <row r="54" spans="1:6" x14ac:dyDescent="0.2">
      <c r="A54" s="5"/>
      <c r="B54" s="5"/>
      <c r="C54" s="5"/>
      <c r="D54" s="5"/>
      <c r="E54" s="5"/>
    </row>
    <row r="55" spans="1:6" x14ac:dyDescent="0.2">
      <c r="A55" s="5"/>
      <c r="B55" s="5"/>
      <c r="C55" s="5"/>
      <c r="D55" s="5"/>
      <c r="E55" s="5"/>
    </row>
    <row r="56" spans="1:6" x14ac:dyDescent="0.2">
      <c r="A56" s="5"/>
      <c r="B56" s="5"/>
      <c r="C56" s="5"/>
      <c r="D56" s="5"/>
      <c r="E56" s="5"/>
    </row>
    <row r="57" spans="1:6" x14ac:dyDescent="0.2">
      <c r="A57" s="5"/>
      <c r="B57" s="5"/>
      <c r="C57" s="5"/>
      <c r="D57" s="5"/>
      <c r="E57" s="5"/>
    </row>
    <row r="58" spans="1:6" x14ac:dyDescent="0.2">
      <c r="A58" s="5"/>
      <c r="B58" s="5"/>
      <c r="C58" s="5"/>
      <c r="D58" s="5"/>
      <c r="E58" s="5"/>
    </row>
    <row r="59" spans="1:6" x14ac:dyDescent="0.2">
      <c r="A59" s="5"/>
      <c r="B59" s="5"/>
      <c r="C59" s="5"/>
      <c r="D59" s="5"/>
      <c r="E59" s="5"/>
    </row>
    <row r="60" spans="1:6" x14ac:dyDescent="0.2">
      <c r="A60" s="5"/>
      <c r="B60" s="5"/>
      <c r="C60" s="5"/>
      <c r="D60" s="5"/>
      <c r="E60" s="5"/>
    </row>
    <row r="61" spans="1:6" x14ac:dyDescent="0.2">
      <c r="A61" s="5"/>
      <c r="B61" s="5"/>
      <c r="C61" s="5"/>
      <c r="D61" s="5"/>
      <c r="E61" s="5"/>
    </row>
    <row r="62" spans="1:6" x14ac:dyDescent="0.2">
      <c r="A62" s="5"/>
      <c r="B62" s="5"/>
      <c r="C62" s="5"/>
      <c r="D62" s="5"/>
      <c r="E62" s="5"/>
    </row>
    <row r="63" spans="1:6" x14ac:dyDescent="0.2">
      <c r="A63" s="5"/>
      <c r="B63" s="5"/>
      <c r="C63" s="5"/>
      <c r="D63" s="5"/>
      <c r="E63" s="5"/>
    </row>
    <row r="64" spans="1:6" x14ac:dyDescent="0.2">
      <c r="A64" s="5"/>
      <c r="B64" s="5"/>
      <c r="C64" s="5"/>
      <c r="D64" s="5"/>
      <c r="E64" s="5"/>
    </row>
    <row r="65" spans="1:5" x14ac:dyDescent="0.2">
      <c r="A65" s="5"/>
      <c r="B65" s="5"/>
      <c r="C65" s="5"/>
      <c r="D65" s="5"/>
      <c r="E65" s="5"/>
    </row>
    <row r="66" spans="1:5" x14ac:dyDescent="0.2">
      <c r="A66" s="5"/>
      <c r="B66" s="5"/>
      <c r="C66" s="5"/>
      <c r="D66" s="5"/>
      <c r="E66" s="5"/>
    </row>
    <row r="67" spans="1:5" x14ac:dyDescent="0.2">
      <c r="A67" s="5"/>
      <c r="B67" s="5"/>
      <c r="C67" s="5"/>
      <c r="D67" s="5"/>
      <c r="E67" s="5"/>
    </row>
    <row r="68" spans="1:5" x14ac:dyDescent="0.2">
      <c r="A68" s="5"/>
      <c r="B68" s="5"/>
      <c r="C68" s="5"/>
      <c r="D68" s="5"/>
      <c r="E68" s="5"/>
    </row>
    <row r="69" spans="1:5" x14ac:dyDescent="0.2">
      <c r="A69" s="5"/>
      <c r="B69" s="5"/>
      <c r="C69" s="5"/>
      <c r="D69" s="5"/>
      <c r="E69" s="5"/>
    </row>
    <row r="70" spans="1:5" x14ac:dyDescent="0.2">
      <c r="A70" s="5"/>
      <c r="B70" s="5"/>
      <c r="C70" s="5"/>
      <c r="D70" s="5"/>
      <c r="E70" s="5"/>
    </row>
    <row r="71" spans="1:5" x14ac:dyDescent="0.2">
      <c r="A71" s="5"/>
      <c r="B71" s="5"/>
      <c r="C71" s="5"/>
      <c r="D71" s="5"/>
      <c r="E71" s="5"/>
    </row>
    <row r="72" spans="1:5" x14ac:dyDescent="0.2">
      <c r="A72" s="5"/>
      <c r="B72" s="5"/>
      <c r="C72" s="5"/>
      <c r="D72" s="5"/>
      <c r="E72" s="5"/>
    </row>
    <row r="73" spans="1:5" x14ac:dyDescent="0.2">
      <c r="A73" s="5"/>
      <c r="B73" s="5"/>
      <c r="C73" s="5"/>
      <c r="D73" s="5"/>
      <c r="E73" s="5"/>
    </row>
    <row r="74" spans="1:5" x14ac:dyDescent="0.2">
      <c r="A74" s="5"/>
      <c r="B74" s="5"/>
      <c r="C74" s="5"/>
      <c r="D74" s="5"/>
      <c r="E74" s="5"/>
    </row>
    <row r="75" spans="1:5" x14ac:dyDescent="0.2">
      <c r="A75" s="5"/>
      <c r="B75" s="5"/>
      <c r="C75" s="5"/>
      <c r="D75" s="5"/>
      <c r="E75" s="5"/>
    </row>
    <row r="76" spans="1:5" x14ac:dyDescent="0.2">
      <c r="A76" s="5"/>
      <c r="B76" s="5"/>
      <c r="C76" s="5"/>
      <c r="D76" s="5"/>
      <c r="E76" s="5"/>
    </row>
    <row r="77" spans="1:5" x14ac:dyDescent="0.2">
      <c r="A77" s="5"/>
      <c r="B77" s="5"/>
      <c r="C77" s="5"/>
      <c r="D77" s="5"/>
      <c r="E77" s="5"/>
    </row>
    <row r="78" spans="1:5" x14ac:dyDescent="0.2">
      <c r="A78" s="5"/>
      <c r="B78" s="5"/>
      <c r="C78" s="5"/>
      <c r="D78" s="5"/>
      <c r="E78" s="5"/>
    </row>
    <row r="79" spans="1:5" x14ac:dyDescent="0.2">
      <c r="A79" s="5"/>
      <c r="B79" s="5"/>
      <c r="C79" s="5"/>
      <c r="D79" s="5"/>
      <c r="E79" s="5"/>
    </row>
    <row r="80" spans="1:5" x14ac:dyDescent="0.2">
      <c r="A80" s="5"/>
      <c r="B80" s="5"/>
      <c r="C80" s="5"/>
      <c r="D80" s="5"/>
      <c r="E80" s="5"/>
    </row>
    <row r="81" spans="1:5" x14ac:dyDescent="0.2">
      <c r="A81" s="5"/>
      <c r="B81" s="5"/>
      <c r="C81" s="5"/>
      <c r="D81" s="5"/>
      <c r="E81" s="5"/>
    </row>
    <row r="82" spans="1:5" x14ac:dyDescent="0.2">
      <c r="A82" s="5"/>
      <c r="B82" s="5"/>
      <c r="C82" s="5"/>
      <c r="D82" s="5"/>
      <c r="E82" s="5"/>
    </row>
    <row r="83" spans="1:5" x14ac:dyDescent="0.2">
      <c r="A83" s="5"/>
      <c r="B83" s="5"/>
      <c r="C83" s="5"/>
      <c r="D83" s="5"/>
      <c r="E83" s="5"/>
    </row>
    <row r="84" spans="1:5" x14ac:dyDescent="0.2">
      <c r="A84" s="5"/>
      <c r="B84" s="5"/>
      <c r="C84" s="5"/>
      <c r="D84" s="5"/>
      <c r="E84" s="5"/>
    </row>
    <row r="85" spans="1:5" x14ac:dyDescent="0.2">
      <c r="A85" s="5"/>
      <c r="B85" s="5"/>
      <c r="C85" s="5"/>
      <c r="D85" s="5"/>
      <c r="E85" s="5"/>
    </row>
    <row r="86" spans="1:5" x14ac:dyDescent="0.2">
      <c r="A86" s="5"/>
      <c r="B86" s="5"/>
      <c r="C86" s="5"/>
      <c r="D86" s="5"/>
      <c r="E86" s="5"/>
    </row>
    <row r="87" spans="1:5" x14ac:dyDescent="0.2">
      <c r="A87" s="5"/>
      <c r="B87" s="5"/>
      <c r="C87" s="5"/>
      <c r="D87" s="5"/>
      <c r="E87" s="5"/>
    </row>
    <row r="88" spans="1:5" x14ac:dyDescent="0.2">
      <c r="A88" s="5"/>
      <c r="B88" s="5"/>
      <c r="C88" s="5"/>
      <c r="D88" s="5"/>
      <c r="E88" s="5"/>
    </row>
    <row r="89" spans="1:5" x14ac:dyDescent="0.2">
      <c r="A89" s="5"/>
      <c r="B89" s="5"/>
      <c r="C89" s="5"/>
      <c r="D89" s="5"/>
      <c r="E89" s="5"/>
    </row>
    <row r="90" spans="1:5" x14ac:dyDescent="0.2">
      <c r="A90" s="5"/>
      <c r="B90" s="5"/>
      <c r="C90" s="5"/>
      <c r="D90" s="5"/>
      <c r="E90" s="5"/>
    </row>
    <row r="91" spans="1:5" x14ac:dyDescent="0.2">
      <c r="A91" s="5"/>
      <c r="B91" s="5"/>
      <c r="C91" s="5"/>
      <c r="D91" s="5"/>
      <c r="E91" s="5"/>
    </row>
    <row r="92" spans="1:5" x14ac:dyDescent="0.2">
      <c r="A92" s="5"/>
      <c r="B92" s="5"/>
      <c r="C92" s="5"/>
      <c r="D92" s="5"/>
      <c r="E92" s="5"/>
    </row>
    <row r="93" spans="1:5" x14ac:dyDescent="0.2">
      <c r="A93" s="5"/>
      <c r="B93" s="5"/>
      <c r="C93" s="5"/>
      <c r="D93" s="5"/>
      <c r="E93" s="5"/>
    </row>
    <row r="94" spans="1:5" x14ac:dyDescent="0.2">
      <c r="A94" s="5"/>
      <c r="B94" s="5"/>
      <c r="C94" s="5"/>
      <c r="D94" s="5"/>
      <c r="E94" s="5"/>
    </row>
    <row r="95" spans="1:5" x14ac:dyDescent="0.2">
      <c r="A95" s="5"/>
      <c r="B95" s="5"/>
      <c r="C95" s="5"/>
      <c r="D95" s="5"/>
      <c r="E95" s="5"/>
    </row>
    <row r="96" spans="1:5" x14ac:dyDescent="0.2">
      <c r="A96" s="5"/>
      <c r="B96" s="5"/>
      <c r="C96" s="5"/>
      <c r="D96" s="5"/>
      <c r="E96" s="5"/>
    </row>
    <row r="97" spans="1:5" x14ac:dyDescent="0.2">
      <c r="A97" s="5"/>
      <c r="B97" s="5"/>
      <c r="C97" s="5"/>
      <c r="D97" s="5"/>
      <c r="E97" s="5"/>
    </row>
    <row r="98" spans="1:5" x14ac:dyDescent="0.2">
      <c r="A98" s="5"/>
      <c r="B98" s="5"/>
      <c r="C98" s="5"/>
      <c r="D98" s="5"/>
      <c r="E98" s="5"/>
    </row>
    <row r="99" spans="1:5" x14ac:dyDescent="0.2">
      <c r="A99" s="5"/>
      <c r="B99" s="5"/>
      <c r="C99" s="5"/>
      <c r="D99" s="5"/>
      <c r="E99" s="5"/>
    </row>
    <row r="100" spans="1:5" x14ac:dyDescent="0.2">
      <c r="A100" s="5"/>
      <c r="B100" s="5"/>
      <c r="C100" s="5"/>
      <c r="D100" s="5"/>
      <c r="E100" s="5"/>
    </row>
    <row r="101" spans="1:5" x14ac:dyDescent="0.2">
      <c r="A101" s="5"/>
      <c r="B101" s="5"/>
      <c r="C101" s="5"/>
      <c r="D101" s="5"/>
      <c r="E101" s="5"/>
    </row>
    <row r="102" spans="1:5" x14ac:dyDescent="0.2">
      <c r="A102" s="5"/>
      <c r="B102" s="5"/>
      <c r="C102" s="5"/>
      <c r="D102" s="5"/>
      <c r="E102" s="5"/>
    </row>
    <row r="103" spans="1:5" x14ac:dyDescent="0.2">
      <c r="A103" s="5"/>
      <c r="B103" s="5"/>
      <c r="C103" s="5"/>
      <c r="D103" s="5"/>
      <c r="E103" s="5"/>
    </row>
    <row r="104" spans="1:5" x14ac:dyDescent="0.2">
      <c r="A104" s="5"/>
      <c r="B104" s="5"/>
      <c r="C104" s="5"/>
      <c r="D104" s="5"/>
      <c r="E104" s="5"/>
    </row>
    <row r="105" spans="1:5" x14ac:dyDescent="0.2">
      <c r="A105" s="5"/>
      <c r="B105" s="5"/>
      <c r="C105" s="5"/>
      <c r="D105" s="5"/>
      <c r="E105" s="5"/>
    </row>
    <row r="106" spans="1:5" x14ac:dyDescent="0.2">
      <c r="A106" s="5"/>
      <c r="B106" s="5"/>
      <c r="C106" s="5"/>
      <c r="D106" s="5"/>
      <c r="E106" s="5"/>
    </row>
    <row r="107" spans="1:5" x14ac:dyDescent="0.2">
      <c r="D107" s="5"/>
      <c r="E107" s="5"/>
    </row>
    <row r="108" spans="1:5" x14ac:dyDescent="0.2">
      <c r="D108" s="5"/>
      <c r="E108" s="5"/>
    </row>
    <row r="109" spans="1:5" x14ac:dyDescent="0.2">
      <c r="D109" s="5"/>
      <c r="E109" s="5"/>
    </row>
    <row r="110" spans="1:5" x14ac:dyDescent="0.2">
      <c r="D110" s="5"/>
      <c r="E110" s="5"/>
    </row>
    <row r="111" spans="1:5" x14ac:dyDescent="0.2">
      <c r="D111" s="5"/>
      <c r="E111" s="5"/>
    </row>
    <row r="112" spans="1:5" x14ac:dyDescent="0.2">
      <c r="D112" s="5"/>
      <c r="E112" s="5"/>
    </row>
    <row r="113" spans="4:5" x14ac:dyDescent="0.2">
      <c r="D113" s="5"/>
      <c r="E113" s="5"/>
    </row>
    <row r="114" spans="4:5" x14ac:dyDescent="0.2">
      <c r="D114" s="5"/>
      <c r="E114" s="5"/>
    </row>
    <row r="115" spans="4:5" x14ac:dyDescent="0.2">
      <c r="D115" s="5"/>
      <c r="E115" s="5"/>
    </row>
    <row r="116" spans="4:5" x14ac:dyDescent="0.2">
      <c r="D116" s="5"/>
      <c r="E116" s="5"/>
    </row>
    <row r="117" spans="4:5" x14ac:dyDescent="0.2">
      <c r="D117" s="5"/>
      <c r="E117" s="5"/>
    </row>
    <row r="118" spans="4:5" x14ac:dyDescent="0.2">
      <c r="D118" s="5"/>
      <c r="E118" s="5"/>
    </row>
    <row r="119" spans="4:5" x14ac:dyDescent="0.2">
      <c r="D119" s="5"/>
      <c r="E119" s="5"/>
    </row>
    <row r="120" spans="4:5" x14ac:dyDescent="0.2">
      <c r="D120" s="5"/>
      <c r="E120" s="5"/>
    </row>
    <row r="121" spans="4:5" x14ac:dyDescent="0.2">
      <c r="D121" s="5"/>
      <c r="E121" s="5"/>
    </row>
    <row r="122" spans="4:5" x14ac:dyDescent="0.2">
      <c r="D122" s="5"/>
      <c r="E122" s="5"/>
    </row>
    <row r="123" spans="4:5" x14ac:dyDescent="0.2">
      <c r="D123" s="5"/>
      <c r="E123" s="5"/>
    </row>
    <row r="124" spans="4:5" x14ac:dyDescent="0.2">
      <c r="D124" s="5"/>
      <c r="E124" s="5"/>
    </row>
    <row r="125" spans="4:5" x14ac:dyDescent="0.2">
      <c r="D125" s="5"/>
      <c r="E125" s="5"/>
    </row>
    <row r="126" spans="4:5" x14ac:dyDescent="0.2">
      <c r="D126" s="5"/>
      <c r="E126" s="5"/>
    </row>
    <row r="127" spans="4:5" x14ac:dyDescent="0.2">
      <c r="D127" s="5"/>
      <c r="E127" s="5"/>
    </row>
    <row r="128" spans="4:5" x14ac:dyDescent="0.2">
      <c r="D128" s="5"/>
      <c r="E128" s="5"/>
    </row>
    <row r="129" spans="4:5" x14ac:dyDescent="0.2">
      <c r="D129" s="5"/>
      <c r="E129" s="5"/>
    </row>
    <row r="130" spans="4:5" x14ac:dyDescent="0.2">
      <c r="D130" s="5"/>
      <c r="E130" s="5"/>
    </row>
    <row r="131" spans="4:5" x14ac:dyDescent="0.2">
      <c r="D131" s="5"/>
      <c r="E131" s="5"/>
    </row>
    <row r="132" spans="4:5" x14ac:dyDescent="0.2">
      <c r="D132" s="5"/>
      <c r="E132" s="5"/>
    </row>
    <row r="133" spans="4:5" x14ac:dyDescent="0.2">
      <c r="D133" s="5"/>
      <c r="E133" s="5"/>
    </row>
    <row r="134" spans="4:5" x14ac:dyDescent="0.2">
      <c r="D134" s="5"/>
      <c r="E134" s="5"/>
    </row>
    <row r="135" spans="4:5" x14ac:dyDescent="0.2">
      <c r="D135" s="5"/>
      <c r="E135" s="5"/>
    </row>
    <row r="136" spans="4:5" x14ac:dyDescent="0.2">
      <c r="D136" s="5"/>
      <c r="E136" s="5"/>
    </row>
    <row r="137" spans="4:5" x14ac:dyDescent="0.2">
      <c r="D137" s="5"/>
      <c r="E137" s="5"/>
    </row>
    <row r="138" spans="4:5" x14ac:dyDescent="0.2">
      <c r="D138" s="5"/>
      <c r="E138" s="5"/>
    </row>
    <row r="139" spans="4:5" x14ac:dyDescent="0.2">
      <c r="D139" s="5"/>
      <c r="E139" s="5"/>
    </row>
    <row r="140" spans="4:5" x14ac:dyDescent="0.2">
      <c r="D140" s="5"/>
      <c r="E140" s="5"/>
    </row>
    <row r="141" spans="4:5" x14ac:dyDescent="0.2">
      <c r="D141" s="5"/>
      <c r="E141" s="5"/>
    </row>
    <row r="142" spans="4:5" x14ac:dyDescent="0.2">
      <c r="D142" s="5"/>
      <c r="E142" s="5"/>
    </row>
    <row r="143" spans="4:5" x14ac:dyDescent="0.2">
      <c r="D143" s="5"/>
      <c r="E143" s="5"/>
    </row>
    <row r="144" spans="4:5" x14ac:dyDescent="0.2">
      <c r="D144" s="5"/>
      <c r="E144" s="5"/>
    </row>
    <row r="145" spans="4:5" x14ac:dyDescent="0.2">
      <c r="D145" s="5"/>
      <c r="E145" s="5"/>
    </row>
    <row r="146" spans="4:5" x14ac:dyDescent="0.2">
      <c r="D146" s="5"/>
      <c r="E146" s="5"/>
    </row>
    <row r="147" spans="4:5" x14ac:dyDescent="0.2">
      <c r="D147" s="5"/>
      <c r="E147" s="5"/>
    </row>
    <row r="148" spans="4:5" x14ac:dyDescent="0.2">
      <c r="D148" s="5"/>
      <c r="E148" s="5"/>
    </row>
    <row r="149" spans="4:5" x14ac:dyDescent="0.2">
      <c r="D149" s="5"/>
      <c r="E149" s="5"/>
    </row>
    <row r="150" spans="4:5" x14ac:dyDescent="0.2">
      <c r="D150" s="5"/>
      <c r="E150" s="5"/>
    </row>
    <row r="151" spans="4:5" x14ac:dyDescent="0.2">
      <c r="D151" s="5"/>
      <c r="E151" s="5"/>
    </row>
    <row r="152" spans="4:5" x14ac:dyDescent="0.2">
      <c r="D152" s="5"/>
      <c r="E152" s="5"/>
    </row>
    <row r="153" spans="4:5" x14ac:dyDescent="0.2">
      <c r="D153" s="5"/>
      <c r="E153" s="5"/>
    </row>
    <row r="154" spans="4:5" x14ac:dyDescent="0.2">
      <c r="D154" s="5"/>
      <c r="E154" s="5"/>
    </row>
    <row r="155" spans="4:5" x14ac:dyDescent="0.2">
      <c r="D155" s="5"/>
      <c r="E155" s="5"/>
    </row>
    <row r="156" spans="4:5" x14ac:dyDescent="0.2">
      <c r="D156" s="5"/>
      <c r="E156" s="5"/>
    </row>
    <row r="157" spans="4:5" x14ac:dyDescent="0.2">
      <c r="D157" s="5"/>
      <c r="E157" s="5"/>
    </row>
    <row r="158" spans="4:5" x14ac:dyDescent="0.2">
      <c r="D158" s="5"/>
      <c r="E158" s="5"/>
    </row>
    <row r="159" spans="4:5" x14ac:dyDescent="0.2">
      <c r="D159" s="5"/>
      <c r="E159" s="5"/>
    </row>
    <row r="160" spans="4:5" x14ac:dyDescent="0.2">
      <c r="D160" s="5"/>
      <c r="E160" s="5"/>
    </row>
    <row r="161" spans="4:5" x14ac:dyDescent="0.2">
      <c r="D161" s="5"/>
      <c r="E161" s="5"/>
    </row>
    <row r="162" spans="4:5" x14ac:dyDescent="0.2">
      <c r="D162" s="5"/>
      <c r="E162" s="5"/>
    </row>
    <row r="163" spans="4:5" x14ac:dyDescent="0.2">
      <c r="D163" s="5"/>
      <c r="E163" s="5"/>
    </row>
    <row r="164" spans="4:5" x14ac:dyDescent="0.2">
      <c r="D164" s="5"/>
      <c r="E164" s="5"/>
    </row>
    <row r="165" spans="4:5" x14ac:dyDescent="0.2">
      <c r="D165" s="5"/>
      <c r="E165" s="5"/>
    </row>
    <row r="166" spans="4:5" x14ac:dyDescent="0.2">
      <c r="D166" s="5"/>
      <c r="E166" s="5"/>
    </row>
    <row r="167" spans="4:5" x14ac:dyDescent="0.2">
      <c r="D167" s="5"/>
      <c r="E167" s="5"/>
    </row>
    <row r="168" spans="4:5" x14ac:dyDescent="0.2">
      <c r="D168" s="5"/>
      <c r="E168" s="5"/>
    </row>
    <row r="169" spans="4:5" x14ac:dyDescent="0.2">
      <c r="D169" s="5"/>
      <c r="E169" s="5"/>
    </row>
    <row r="170" spans="4:5" x14ac:dyDescent="0.2">
      <c r="D170" s="5"/>
      <c r="E170" s="5"/>
    </row>
    <row r="171" spans="4:5" x14ac:dyDescent="0.2">
      <c r="D171" s="5"/>
      <c r="E171" s="5"/>
    </row>
    <row r="172" spans="4:5" x14ac:dyDescent="0.2">
      <c r="D172" s="5"/>
      <c r="E172" s="5"/>
    </row>
    <row r="173" spans="4:5" x14ac:dyDescent="0.2">
      <c r="D173" s="5"/>
      <c r="E173" s="5"/>
    </row>
    <row r="174" spans="4:5" x14ac:dyDescent="0.2">
      <c r="D174" s="5"/>
      <c r="E174" s="5"/>
    </row>
    <row r="175" spans="4:5" x14ac:dyDescent="0.2">
      <c r="D175" s="5"/>
      <c r="E175" s="5"/>
    </row>
    <row r="176" spans="4:5" x14ac:dyDescent="0.2">
      <c r="D176" s="5"/>
      <c r="E176" s="5"/>
    </row>
    <row r="177" spans="4:5" x14ac:dyDescent="0.2">
      <c r="D177" s="5"/>
      <c r="E177" s="5"/>
    </row>
    <row r="178" spans="4:5" x14ac:dyDescent="0.2">
      <c r="D178" s="5"/>
      <c r="E178" s="5"/>
    </row>
    <row r="179" spans="4:5" x14ac:dyDescent="0.2">
      <c r="D179" s="5"/>
      <c r="E179" s="5"/>
    </row>
    <row r="180" spans="4:5" x14ac:dyDescent="0.2">
      <c r="D180" s="5"/>
      <c r="E180" s="5"/>
    </row>
    <row r="181" spans="4:5" x14ac:dyDescent="0.2">
      <c r="D181" s="5"/>
      <c r="E181" s="5"/>
    </row>
    <row r="182" spans="4:5" x14ac:dyDescent="0.2">
      <c r="D182" s="5"/>
      <c r="E182" s="5"/>
    </row>
    <row r="183" spans="4:5" x14ac:dyDescent="0.2">
      <c r="D183" s="5"/>
      <c r="E183" s="5"/>
    </row>
    <row r="184" spans="4:5" x14ac:dyDescent="0.2">
      <c r="D184" s="5"/>
      <c r="E184" s="5"/>
    </row>
    <row r="185" spans="4:5" x14ac:dyDescent="0.2">
      <c r="D185" s="5"/>
      <c r="E185" s="5"/>
    </row>
    <row r="186" spans="4:5" x14ac:dyDescent="0.2">
      <c r="D186" s="5"/>
      <c r="E186" s="5"/>
    </row>
    <row r="187" spans="4:5" x14ac:dyDescent="0.2">
      <c r="D187" s="5"/>
      <c r="E187" s="5"/>
    </row>
    <row r="188" spans="4:5" x14ac:dyDescent="0.2">
      <c r="D188" s="5"/>
      <c r="E188" s="5"/>
    </row>
    <row r="189" spans="4:5" x14ac:dyDescent="0.2">
      <c r="D189" s="5"/>
      <c r="E189" s="5"/>
    </row>
    <row r="190" spans="4:5" x14ac:dyDescent="0.2">
      <c r="D190" s="5"/>
      <c r="E190" s="5"/>
    </row>
    <row r="191" spans="4:5" x14ac:dyDescent="0.2">
      <c r="D191" s="5"/>
      <c r="E191" s="5"/>
    </row>
    <row r="192" spans="4:5" x14ac:dyDescent="0.2">
      <c r="D192" s="5"/>
      <c r="E192" s="5"/>
    </row>
    <row r="193" spans="4:5" x14ac:dyDescent="0.2">
      <c r="D193" s="5"/>
      <c r="E193" s="5"/>
    </row>
    <row r="194" spans="4:5" x14ac:dyDescent="0.2">
      <c r="D194" s="5"/>
      <c r="E194" s="5"/>
    </row>
    <row r="195" spans="4:5" x14ac:dyDescent="0.2">
      <c r="D195" s="5"/>
      <c r="E195" s="5"/>
    </row>
    <row r="196" spans="4:5" x14ac:dyDescent="0.2">
      <c r="D196" s="5"/>
      <c r="E196" s="5"/>
    </row>
    <row r="197" spans="4:5" x14ac:dyDescent="0.2">
      <c r="D197" s="5"/>
      <c r="E197" s="5"/>
    </row>
    <row r="198" spans="4:5" x14ac:dyDescent="0.2">
      <c r="D198" s="5"/>
      <c r="E198" s="5"/>
    </row>
    <row r="199" spans="4:5" x14ac:dyDescent="0.2">
      <c r="D199" s="5"/>
      <c r="E199" s="5"/>
    </row>
    <row r="200" spans="4:5" x14ac:dyDescent="0.2">
      <c r="D200" s="5"/>
      <c r="E200" s="5"/>
    </row>
    <row r="201" spans="4:5" x14ac:dyDescent="0.2">
      <c r="D201" s="5"/>
      <c r="E201" s="5"/>
    </row>
    <row r="202" spans="4:5" x14ac:dyDescent="0.2">
      <c r="D202" s="5"/>
      <c r="E202" s="5"/>
    </row>
    <row r="203" spans="4:5" x14ac:dyDescent="0.2">
      <c r="D203" s="5"/>
      <c r="E203" s="5"/>
    </row>
    <row r="204" spans="4:5" x14ac:dyDescent="0.2">
      <c r="D204" s="5"/>
      <c r="E204" s="5"/>
    </row>
    <row r="205" spans="4:5" x14ac:dyDescent="0.2">
      <c r="D205" s="5"/>
      <c r="E205" s="5"/>
    </row>
    <row r="206" spans="4:5" x14ac:dyDescent="0.2">
      <c r="D206" s="5"/>
      <c r="E206" s="5"/>
    </row>
    <row r="207" spans="4:5" x14ac:dyDescent="0.2">
      <c r="D207" s="5"/>
      <c r="E207" s="5"/>
    </row>
    <row r="208" spans="4:5" x14ac:dyDescent="0.2">
      <c r="D208" s="5"/>
      <c r="E208" s="5"/>
    </row>
    <row r="209" spans="4:5" x14ac:dyDescent="0.2">
      <c r="D209" s="5"/>
      <c r="E209" s="5"/>
    </row>
    <row r="210" spans="4:5" x14ac:dyDescent="0.2">
      <c r="D210" s="5"/>
      <c r="E210" s="5"/>
    </row>
    <row r="211" spans="4:5" x14ac:dyDescent="0.2">
      <c r="D211" s="5"/>
      <c r="E211" s="5"/>
    </row>
    <row r="212" spans="4:5" x14ac:dyDescent="0.2">
      <c r="D212" s="5"/>
      <c r="E212" s="5"/>
    </row>
    <row r="213" spans="4:5" x14ac:dyDescent="0.2">
      <c r="D213" s="5"/>
      <c r="E213" s="5"/>
    </row>
    <row r="214" spans="4:5" x14ac:dyDescent="0.2">
      <c r="D214" s="5"/>
      <c r="E214" s="5"/>
    </row>
    <row r="215" spans="4:5" x14ac:dyDescent="0.2">
      <c r="D215" s="5"/>
      <c r="E215" s="5"/>
    </row>
    <row r="216" spans="4:5" x14ac:dyDescent="0.2">
      <c r="D216" s="5"/>
      <c r="E216" s="5"/>
    </row>
    <row r="217" spans="4:5" x14ac:dyDescent="0.2">
      <c r="D217" s="5"/>
      <c r="E217" s="5"/>
    </row>
    <row r="218" spans="4:5" x14ac:dyDescent="0.2">
      <c r="D218" s="5"/>
      <c r="E218" s="5"/>
    </row>
    <row r="219" spans="4:5" x14ac:dyDescent="0.2">
      <c r="D219" s="5"/>
      <c r="E219" s="5"/>
    </row>
    <row r="220" spans="4:5" x14ac:dyDescent="0.2">
      <c r="D220" s="5"/>
      <c r="E220" s="5"/>
    </row>
    <row r="221" spans="4:5" x14ac:dyDescent="0.2">
      <c r="D221" s="5"/>
      <c r="E221" s="5"/>
    </row>
    <row r="222" spans="4:5" x14ac:dyDescent="0.2">
      <c r="D222" s="5"/>
      <c r="E222" s="5"/>
    </row>
    <row r="223" spans="4:5" x14ac:dyDescent="0.2">
      <c r="D223" s="5"/>
      <c r="E223" s="5"/>
    </row>
    <row r="224" spans="4:5" x14ac:dyDescent="0.2">
      <c r="D224" s="5"/>
      <c r="E224" s="5"/>
    </row>
    <row r="225" spans="4:5" x14ac:dyDescent="0.2">
      <c r="D225" s="5"/>
      <c r="E225" s="5"/>
    </row>
    <row r="226" spans="4:5" x14ac:dyDescent="0.2">
      <c r="D226" s="5"/>
      <c r="E226" s="5"/>
    </row>
    <row r="227" spans="4:5" x14ac:dyDescent="0.2">
      <c r="D227" s="5"/>
      <c r="E227" s="5"/>
    </row>
    <row r="228" spans="4:5" x14ac:dyDescent="0.2">
      <c r="D228" s="5"/>
      <c r="E228" s="5"/>
    </row>
    <row r="229" spans="4:5" x14ac:dyDescent="0.2">
      <c r="D229" s="5"/>
      <c r="E229" s="5"/>
    </row>
    <row r="230" spans="4:5" x14ac:dyDescent="0.2">
      <c r="D230" s="5"/>
      <c r="E230" s="5"/>
    </row>
    <row r="231" spans="4:5" x14ac:dyDescent="0.2">
      <c r="D231" s="5"/>
      <c r="E231" s="5"/>
    </row>
    <row r="232" spans="4:5" x14ac:dyDescent="0.2">
      <c r="D232" s="5"/>
      <c r="E232" s="5"/>
    </row>
    <row r="233" spans="4:5" x14ac:dyDescent="0.2">
      <c r="D233" s="5"/>
      <c r="E233" s="5"/>
    </row>
    <row r="234" spans="4:5" x14ac:dyDescent="0.2">
      <c r="D234" s="5"/>
      <c r="E234" s="5"/>
    </row>
    <row r="235" spans="4:5" x14ac:dyDescent="0.2">
      <c r="D235" s="5"/>
      <c r="E235" s="5"/>
    </row>
    <row r="236" spans="4:5" x14ac:dyDescent="0.2">
      <c r="D236" s="5"/>
      <c r="E236" s="5"/>
    </row>
    <row r="237" spans="4:5" x14ac:dyDescent="0.2">
      <c r="D237" s="5"/>
      <c r="E237" s="5"/>
    </row>
    <row r="238" spans="4:5" x14ac:dyDescent="0.2">
      <c r="D238" s="5"/>
      <c r="E238" s="5"/>
    </row>
    <row r="239" spans="4:5" x14ac:dyDescent="0.2">
      <c r="D239" s="5"/>
      <c r="E239" s="5"/>
    </row>
    <row r="240" spans="4:5" x14ac:dyDescent="0.2">
      <c r="D240" s="5"/>
      <c r="E240" s="5"/>
    </row>
    <row r="241" spans="4:5" x14ac:dyDescent="0.2">
      <c r="D241" s="5"/>
      <c r="E241" s="5"/>
    </row>
    <row r="242" spans="4:5" x14ac:dyDescent="0.2">
      <c r="D242" s="5"/>
      <c r="E242" s="5"/>
    </row>
    <row r="243" spans="4:5" x14ac:dyDescent="0.2">
      <c r="D243" s="5"/>
      <c r="E243" s="5"/>
    </row>
    <row r="244" spans="4:5" x14ac:dyDescent="0.2">
      <c r="D244" s="5"/>
      <c r="E244" s="5"/>
    </row>
    <row r="245" spans="4:5" x14ac:dyDescent="0.2">
      <c r="D245" s="5"/>
      <c r="E245" s="5"/>
    </row>
    <row r="246" spans="4:5" x14ac:dyDescent="0.2">
      <c r="D246" s="5"/>
      <c r="E246" s="5"/>
    </row>
    <row r="247" spans="4:5" x14ac:dyDescent="0.2">
      <c r="D247" s="5"/>
      <c r="E247" s="5"/>
    </row>
    <row r="248" spans="4:5" x14ac:dyDescent="0.2">
      <c r="D248" s="5"/>
      <c r="E248" s="5"/>
    </row>
    <row r="249" spans="4:5" x14ac:dyDescent="0.2">
      <c r="D249" s="5"/>
      <c r="E249" s="5"/>
    </row>
    <row r="250" spans="4:5" x14ac:dyDescent="0.2">
      <c r="D250" s="5"/>
      <c r="E250" s="5"/>
    </row>
    <row r="251" spans="4:5" x14ac:dyDescent="0.2">
      <c r="D251" s="5"/>
      <c r="E251" s="5"/>
    </row>
    <row r="252" spans="4:5" x14ac:dyDescent="0.2">
      <c r="D252" s="5"/>
      <c r="E252" s="5"/>
    </row>
    <row r="253" spans="4:5" x14ac:dyDescent="0.2">
      <c r="D253" s="5"/>
      <c r="E253" s="5"/>
    </row>
    <row r="254" spans="4:5" x14ac:dyDescent="0.2">
      <c r="D254" s="5"/>
      <c r="E254" s="5"/>
    </row>
    <row r="255" spans="4:5" x14ac:dyDescent="0.2">
      <c r="D255" s="5"/>
      <c r="E255" s="5"/>
    </row>
    <row r="256" spans="4:5" x14ac:dyDescent="0.2">
      <c r="D256" s="5"/>
      <c r="E256" s="5"/>
    </row>
    <row r="257" spans="4:5" x14ac:dyDescent="0.2">
      <c r="D257" s="5"/>
      <c r="E257" s="5"/>
    </row>
    <row r="258" spans="4:5" x14ac:dyDescent="0.2">
      <c r="D258" s="5"/>
      <c r="E258" s="5"/>
    </row>
    <row r="259" spans="4:5" x14ac:dyDescent="0.2">
      <c r="D259" s="5"/>
      <c r="E259" s="5"/>
    </row>
    <row r="260" spans="4:5" x14ac:dyDescent="0.2">
      <c r="D260" s="5"/>
      <c r="E260" s="5"/>
    </row>
    <row r="261" spans="4:5" x14ac:dyDescent="0.2">
      <c r="D261" s="5"/>
      <c r="E261" s="5"/>
    </row>
    <row r="262" spans="4:5" x14ac:dyDescent="0.2">
      <c r="D262" s="5"/>
      <c r="E262" s="5"/>
    </row>
    <row r="263" spans="4:5" x14ac:dyDescent="0.2">
      <c r="D263" s="5"/>
      <c r="E263" s="5"/>
    </row>
    <row r="264" spans="4:5" x14ac:dyDescent="0.2">
      <c r="D264" s="5"/>
      <c r="E264" s="5"/>
    </row>
    <row r="265" spans="4:5" x14ac:dyDescent="0.2">
      <c r="D265" s="5"/>
      <c r="E265" s="5"/>
    </row>
    <row r="266" spans="4:5" x14ac:dyDescent="0.2">
      <c r="D266" s="5"/>
      <c r="E266" s="5"/>
    </row>
    <row r="267" spans="4:5" x14ac:dyDescent="0.2">
      <c r="D267" s="5"/>
      <c r="E267" s="5"/>
    </row>
    <row r="268" spans="4:5" x14ac:dyDescent="0.2">
      <c r="D268" s="5"/>
      <c r="E268" s="5"/>
    </row>
    <row r="269" spans="4:5" x14ac:dyDescent="0.2">
      <c r="D269" s="5"/>
      <c r="E269" s="5"/>
    </row>
    <row r="270" spans="4:5" x14ac:dyDescent="0.2">
      <c r="D270" s="5"/>
      <c r="E270" s="5"/>
    </row>
    <row r="271" spans="4:5" x14ac:dyDescent="0.2">
      <c r="D271" s="5"/>
      <c r="E271" s="5"/>
    </row>
    <row r="272" spans="4:5" x14ac:dyDescent="0.2">
      <c r="D272" s="5"/>
      <c r="E272" s="5"/>
    </row>
    <row r="273" spans="4:5" x14ac:dyDescent="0.2">
      <c r="D273" s="5"/>
      <c r="E273" s="5"/>
    </row>
    <row r="274" spans="4:5" x14ac:dyDescent="0.2">
      <c r="D274" s="5"/>
      <c r="E274" s="5"/>
    </row>
    <row r="275" spans="4:5" x14ac:dyDescent="0.2">
      <c r="D275" s="5"/>
      <c r="E275" s="5"/>
    </row>
    <row r="276" spans="4:5" x14ac:dyDescent="0.2">
      <c r="D276" s="5"/>
      <c r="E276" s="5"/>
    </row>
    <row r="277" spans="4:5" x14ac:dyDescent="0.2">
      <c r="D277" s="5"/>
      <c r="E277" s="5"/>
    </row>
    <row r="278" spans="4:5" x14ac:dyDescent="0.2">
      <c r="D278" s="5"/>
      <c r="E278" s="5"/>
    </row>
    <row r="279" spans="4:5" x14ac:dyDescent="0.2">
      <c r="D279" s="5"/>
      <c r="E279" s="5"/>
    </row>
    <row r="280" spans="4:5" x14ac:dyDescent="0.2">
      <c r="D280" s="5"/>
      <c r="E280" s="5"/>
    </row>
    <row r="281" spans="4:5" x14ac:dyDescent="0.2">
      <c r="D281" s="5"/>
      <c r="E281" s="5"/>
    </row>
    <row r="282" spans="4:5" x14ac:dyDescent="0.2">
      <c r="D282" s="5"/>
      <c r="E282" s="5"/>
    </row>
    <row r="283" spans="4:5" x14ac:dyDescent="0.2">
      <c r="D283" s="5"/>
      <c r="E283" s="5"/>
    </row>
    <row r="284" spans="4:5" x14ac:dyDescent="0.2">
      <c r="D284" s="5"/>
      <c r="E284" s="5"/>
    </row>
    <row r="285" spans="4:5" x14ac:dyDescent="0.2">
      <c r="D285" s="5"/>
      <c r="E285" s="5"/>
    </row>
    <row r="286" spans="4:5" x14ac:dyDescent="0.2">
      <c r="D286" s="5"/>
      <c r="E286" s="5"/>
    </row>
    <row r="287" spans="4:5" x14ac:dyDescent="0.2">
      <c r="D287" s="5"/>
      <c r="E287" s="5"/>
    </row>
    <row r="288" spans="4:5" x14ac:dyDescent="0.2">
      <c r="D288" s="5"/>
      <c r="E288" s="5"/>
    </row>
    <row r="289" spans="4:5" x14ac:dyDescent="0.2">
      <c r="D289" s="5"/>
      <c r="E289" s="5"/>
    </row>
    <row r="290" spans="4:5" x14ac:dyDescent="0.2">
      <c r="D290" s="5"/>
      <c r="E290" s="5"/>
    </row>
    <row r="291" spans="4:5" x14ac:dyDescent="0.2">
      <c r="D291" s="5"/>
      <c r="E291" s="5"/>
    </row>
    <row r="292" spans="4:5" x14ac:dyDescent="0.2">
      <c r="D292" s="5"/>
      <c r="E292" s="5"/>
    </row>
    <row r="293" spans="4:5" x14ac:dyDescent="0.2">
      <c r="D293" s="5"/>
      <c r="E293" s="5"/>
    </row>
    <row r="294" spans="4:5" x14ac:dyDescent="0.2">
      <c r="D294" s="5"/>
      <c r="E294" s="5"/>
    </row>
    <row r="295" spans="4:5" x14ac:dyDescent="0.2">
      <c r="D295" s="5"/>
      <c r="E295" s="5"/>
    </row>
    <row r="296" spans="4:5" x14ac:dyDescent="0.2">
      <c r="D296" s="5"/>
      <c r="E296" s="5"/>
    </row>
    <row r="297" spans="4:5" x14ac:dyDescent="0.2">
      <c r="D297" s="5"/>
      <c r="E297" s="5"/>
    </row>
    <row r="298" spans="4:5" x14ac:dyDescent="0.2">
      <c r="D298" s="5"/>
      <c r="E298" s="5"/>
    </row>
    <row r="299" spans="4:5" x14ac:dyDescent="0.2">
      <c r="D299" s="5"/>
      <c r="E299" s="5"/>
    </row>
    <row r="300" spans="4:5" x14ac:dyDescent="0.2">
      <c r="D300" s="5"/>
      <c r="E300" s="5"/>
    </row>
    <row r="301" spans="4:5" x14ac:dyDescent="0.2">
      <c r="D301" s="5"/>
      <c r="E301" s="5"/>
    </row>
    <row r="302" spans="4:5" x14ac:dyDescent="0.2">
      <c r="D302" s="5"/>
      <c r="E302" s="5"/>
    </row>
    <row r="303" spans="4:5" x14ac:dyDescent="0.2">
      <c r="D303" s="5"/>
      <c r="E303" s="5"/>
    </row>
    <row r="304" spans="4:5" x14ac:dyDescent="0.2">
      <c r="D304" s="5"/>
      <c r="E304" s="5"/>
    </row>
    <row r="305" spans="4:5" x14ac:dyDescent="0.2">
      <c r="D305" s="5"/>
      <c r="E305" s="5"/>
    </row>
    <row r="306" spans="4:5" x14ac:dyDescent="0.2">
      <c r="D306" s="5"/>
      <c r="E306" s="5"/>
    </row>
    <row r="307" spans="4:5" x14ac:dyDescent="0.2">
      <c r="D307" s="5"/>
      <c r="E307" s="5"/>
    </row>
    <row r="308" spans="4:5" x14ac:dyDescent="0.2">
      <c r="D308" s="5"/>
      <c r="E308" s="5"/>
    </row>
    <row r="309" spans="4:5" x14ac:dyDescent="0.2">
      <c r="D309" s="5"/>
      <c r="E309" s="5"/>
    </row>
    <row r="310" spans="4:5" x14ac:dyDescent="0.2">
      <c r="D310" s="5"/>
      <c r="E310" s="5"/>
    </row>
    <row r="311" spans="4:5" x14ac:dyDescent="0.2">
      <c r="D311" s="5"/>
      <c r="E311" s="5"/>
    </row>
    <row r="312" spans="4:5" x14ac:dyDescent="0.2">
      <c r="D312" s="5"/>
      <c r="E312" s="5"/>
    </row>
    <row r="313" spans="4:5" x14ac:dyDescent="0.2">
      <c r="D313" s="5"/>
      <c r="E313" s="5"/>
    </row>
    <row r="314" spans="4:5" x14ac:dyDescent="0.2">
      <c r="D314" s="5"/>
      <c r="E314" s="5"/>
    </row>
    <row r="315" spans="4:5" x14ac:dyDescent="0.2">
      <c r="D315" s="5"/>
      <c r="E315" s="5"/>
    </row>
    <row r="316" spans="4:5" x14ac:dyDescent="0.2">
      <c r="D316" s="5"/>
      <c r="E316" s="5"/>
    </row>
    <row r="317" spans="4:5" x14ac:dyDescent="0.2">
      <c r="D317" s="5"/>
      <c r="E317" s="5"/>
    </row>
    <row r="318" spans="4:5" x14ac:dyDescent="0.2">
      <c r="D318" s="5"/>
      <c r="E318" s="5"/>
    </row>
    <row r="319" spans="4:5" x14ac:dyDescent="0.2">
      <c r="D319" s="5"/>
      <c r="E319" s="5"/>
    </row>
    <row r="320" spans="4:5" x14ac:dyDescent="0.2">
      <c r="D320" s="5"/>
      <c r="E320" s="5"/>
    </row>
    <row r="321" spans="4:5" x14ac:dyDescent="0.2">
      <c r="D321" s="5"/>
      <c r="E321" s="5"/>
    </row>
    <row r="322" spans="4:5" x14ac:dyDescent="0.2">
      <c r="D322" s="5"/>
      <c r="E322" s="5"/>
    </row>
    <row r="323" spans="4:5" x14ac:dyDescent="0.2">
      <c r="D323" s="5"/>
      <c r="E323" s="5"/>
    </row>
    <row r="324" spans="4:5" x14ac:dyDescent="0.2">
      <c r="D324" s="5"/>
      <c r="E324" s="5"/>
    </row>
    <row r="325" spans="4:5" x14ac:dyDescent="0.2">
      <c r="D325" s="5"/>
      <c r="E325" s="5"/>
    </row>
    <row r="326" spans="4:5" x14ac:dyDescent="0.2">
      <c r="D326" s="5"/>
      <c r="E326" s="5"/>
    </row>
    <row r="327" spans="4:5" x14ac:dyDescent="0.2">
      <c r="D327" s="5"/>
      <c r="E327" s="5"/>
    </row>
    <row r="328" spans="4:5" x14ac:dyDescent="0.2">
      <c r="D328" s="5"/>
      <c r="E328" s="5"/>
    </row>
    <row r="329" spans="4:5" x14ac:dyDescent="0.2">
      <c r="D329" s="5"/>
      <c r="E329" s="5"/>
    </row>
    <row r="330" spans="4:5" x14ac:dyDescent="0.2">
      <c r="D330" s="5"/>
      <c r="E330" s="5"/>
    </row>
    <row r="331" spans="4:5" x14ac:dyDescent="0.2">
      <c r="D331" s="5"/>
      <c r="E331" s="5"/>
    </row>
    <row r="332" spans="4:5" x14ac:dyDescent="0.2">
      <c r="D332" s="5"/>
      <c r="E332" s="5"/>
    </row>
    <row r="333" spans="4:5" x14ac:dyDescent="0.2">
      <c r="D333" s="5"/>
      <c r="E333" s="5"/>
    </row>
    <row r="334" spans="4:5" x14ac:dyDescent="0.2">
      <c r="D334" s="5"/>
      <c r="E334" s="5"/>
    </row>
    <row r="335" spans="4:5" x14ac:dyDescent="0.2">
      <c r="D335" s="5"/>
      <c r="E335" s="5"/>
    </row>
    <row r="336" spans="4:5" x14ac:dyDescent="0.2">
      <c r="D336" s="5"/>
      <c r="E336" s="5"/>
    </row>
    <row r="337" spans="4:5" x14ac:dyDescent="0.2">
      <c r="D337" s="5"/>
      <c r="E337" s="5"/>
    </row>
    <row r="338" spans="4:5" x14ac:dyDescent="0.2">
      <c r="D338" s="5"/>
      <c r="E338" s="5"/>
    </row>
    <row r="339" spans="4:5" x14ac:dyDescent="0.2">
      <c r="D339" s="5"/>
      <c r="E339" s="5"/>
    </row>
    <row r="340" spans="4:5" x14ac:dyDescent="0.2">
      <c r="D340" s="5"/>
      <c r="E340" s="5"/>
    </row>
    <row r="341" spans="4:5" x14ac:dyDescent="0.2">
      <c r="D341" s="5"/>
      <c r="E341" s="5"/>
    </row>
    <row r="342" spans="4:5" x14ac:dyDescent="0.2">
      <c r="D342" s="5"/>
      <c r="E342" s="5"/>
    </row>
    <row r="343" spans="4:5" x14ac:dyDescent="0.2">
      <c r="D343" s="5"/>
      <c r="E343" s="5"/>
    </row>
    <row r="344" spans="4:5" x14ac:dyDescent="0.2">
      <c r="D344" s="5"/>
      <c r="E344" s="5"/>
    </row>
    <row r="345" spans="4:5" x14ac:dyDescent="0.2">
      <c r="D345" s="5"/>
      <c r="E345" s="5"/>
    </row>
    <row r="346" spans="4:5" x14ac:dyDescent="0.2">
      <c r="D346" s="5"/>
      <c r="E346" s="5"/>
    </row>
    <row r="347" spans="4:5" x14ac:dyDescent="0.2">
      <c r="D347" s="5"/>
      <c r="E347" s="5"/>
    </row>
    <row r="348" spans="4:5" x14ac:dyDescent="0.2">
      <c r="D348" s="5"/>
      <c r="E348" s="5"/>
    </row>
    <row r="349" spans="4:5" x14ac:dyDescent="0.2">
      <c r="D349" s="5"/>
      <c r="E349" s="5"/>
    </row>
    <row r="350" spans="4:5" x14ac:dyDescent="0.2">
      <c r="D350" s="5"/>
      <c r="E350" s="5"/>
    </row>
    <row r="351" spans="4:5" x14ac:dyDescent="0.2">
      <c r="D351" s="5"/>
      <c r="E351" s="5"/>
    </row>
    <row r="352" spans="4:5" x14ac:dyDescent="0.2">
      <c r="D352" s="5"/>
      <c r="E352" s="5"/>
    </row>
    <row r="353" spans="4:5" x14ac:dyDescent="0.2">
      <c r="D353" s="5"/>
      <c r="E353" s="5"/>
    </row>
    <row r="354" spans="4:5" x14ac:dyDescent="0.2">
      <c r="D354" s="5"/>
      <c r="E354" s="5"/>
    </row>
    <row r="355" spans="4:5" x14ac:dyDescent="0.2">
      <c r="D355" s="5"/>
      <c r="E355" s="5"/>
    </row>
    <row r="356" spans="4:5" x14ac:dyDescent="0.2">
      <c r="D356" s="5"/>
      <c r="E356" s="5"/>
    </row>
    <row r="357" spans="4:5" x14ac:dyDescent="0.2">
      <c r="D357" s="5"/>
      <c r="E357" s="5"/>
    </row>
    <row r="358" spans="4:5" x14ac:dyDescent="0.2">
      <c r="D358" s="5"/>
      <c r="E358" s="5"/>
    </row>
    <row r="359" spans="4:5" x14ac:dyDescent="0.2">
      <c r="D359" s="5"/>
      <c r="E359" s="5"/>
    </row>
    <row r="360" spans="4:5" x14ac:dyDescent="0.2">
      <c r="D360" s="5"/>
      <c r="E360" s="5"/>
    </row>
    <row r="361" spans="4:5" x14ac:dyDescent="0.2">
      <c r="D361" s="5"/>
      <c r="E361" s="5"/>
    </row>
    <row r="362" spans="4:5" x14ac:dyDescent="0.2">
      <c r="D362" s="5"/>
      <c r="E362" s="5"/>
    </row>
    <row r="363" spans="4:5" x14ac:dyDescent="0.2">
      <c r="D363" s="5"/>
      <c r="E363" s="5"/>
    </row>
    <row r="364" spans="4:5" x14ac:dyDescent="0.2">
      <c r="D364" s="5"/>
      <c r="E364" s="5"/>
    </row>
    <row r="365" spans="4:5" x14ac:dyDescent="0.2">
      <c r="D365" s="5"/>
      <c r="E365" s="5"/>
    </row>
    <row r="366" spans="4:5" x14ac:dyDescent="0.2">
      <c r="D366" s="5"/>
      <c r="E366" s="5"/>
    </row>
    <row r="367" spans="4:5" x14ac:dyDescent="0.2">
      <c r="D367" s="5"/>
      <c r="E367" s="5"/>
    </row>
    <row r="368" spans="4:5" x14ac:dyDescent="0.2">
      <c r="D368" s="5"/>
      <c r="E368" s="5"/>
    </row>
    <row r="369" spans="4:5" x14ac:dyDescent="0.2">
      <c r="D369" s="5"/>
      <c r="E369" s="5"/>
    </row>
    <row r="370" spans="4:5" x14ac:dyDescent="0.2">
      <c r="D370" s="5"/>
      <c r="E370" s="5"/>
    </row>
    <row r="371" spans="4:5" x14ac:dyDescent="0.2">
      <c r="D371" s="5"/>
      <c r="E371" s="5"/>
    </row>
    <row r="372" spans="4:5" x14ac:dyDescent="0.2">
      <c r="D372" s="5"/>
      <c r="E372" s="5"/>
    </row>
    <row r="373" spans="4:5" x14ac:dyDescent="0.2">
      <c r="D373" s="5"/>
      <c r="E373" s="5"/>
    </row>
    <row r="374" spans="4:5" x14ac:dyDescent="0.2">
      <c r="D374" s="5"/>
      <c r="E374" s="5"/>
    </row>
    <row r="375" spans="4:5" x14ac:dyDescent="0.2">
      <c r="D375" s="5"/>
      <c r="E375" s="5"/>
    </row>
    <row r="376" spans="4:5" x14ac:dyDescent="0.2">
      <c r="D376" s="5"/>
      <c r="E376" s="5"/>
    </row>
    <row r="377" spans="4:5" x14ac:dyDescent="0.2">
      <c r="D377" s="5"/>
      <c r="E377" s="5"/>
    </row>
    <row r="378" spans="4:5" x14ac:dyDescent="0.2">
      <c r="D378" s="5"/>
      <c r="E378" s="5"/>
    </row>
    <row r="379" spans="4:5" x14ac:dyDescent="0.2">
      <c r="D379" s="5"/>
      <c r="E379" s="5"/>
    </row>
    <row r="380" spans="4:5" x14ac:dyDescent="0.2">
      <c r="D380" s="5"/>
      <c r="E380" s="5"/>
    </row>
    <row r="381" spans="4:5" x14ac:dyDescent="0.2">
      <c r="D381" s="5"/>
      <c r="E381" s="5"/>
    </row>
    <row r="382" spans="4:5" x14ac:dyDescent="0.2">
      <c r="D382" s="5"/>
      <c r="E382" s="5"/>
    </row>
    <row r="383" spans="4:5" x14ac:dyDescent="0.2">
      <c r="D383" s="5"/>
      <c r="E383" s="5"/>
    </row>
    <row r="384" spans="4:5" x14ac:dyDescent="0.2">
      <c r="D384" s="5"/>
      <c r="E384" s="5"/>
    </row>
    <row r="385" spans="4:5" x14ac:dyDescent="0.2">
      <c r="D385" s="5"/>
      <c r="E385" s="5"/>
    </row>
    <row r="386" spans="4:5" x14ac:dyDescent="0.2">
      <c r="D386" s="5"/>
      <c r="E386" s="5"/>
    </row>
    <row r="387" spans="4:5" x14ac:dyDescent="0.2">
      <c r="D387" s="5"/>
      <c r="E387" s="5"/>
    </row>
    <row r="388" spans="4:5" x14ac:dyDescent="0.2">
      <c r="D388" s="5"/>
      <c r="E388" s="5"/>
    </row>
    <row r="389" spans="4:5" x14ac:dyDescent="0.2">
      <c r="D389" s="5"/>
      <c r="E389" s="5"/>
    </row>
    <row r="390" spans="4:5" x14ac:dyDescent="0.2">
      <c r="D390" s="5"/>
      <c r="E390" s="5"/>
    </row>
    <row r="391" spans="4:5" x14ac:dyDescent="0.2">
      <c r="D391" s="5"/>
      <c r="E391" s="5"/>
    </row>
    <row r="392" spans="4:5" x14ac:dyDescent="0.2">
      <c r="D392" s="5"/>
      <c r="E392" s="5"/>
    </row>
    <row r="393" spans="4:5" x14ac:dyDescent="0.2">
      <c r="D393" s="5"/>
      <c r="E393" s="5"/>
    </row>
    <row r="394" spans="4:5" x14ac:dyDescent="0.2">
      <c r="D394" s="5"/>
      <c r="E394" s="5"/>
    </row>
    <row r="395" spans="4:5" x14ac:dyDescent="0.2">
      <c r="D395" s="5"/>
      <c r="E395" s="5"/>
    </row>
    <row r="396" spans="4:5" x14ac:dyDescent="0.2">
      <c r="D396" s="5"/>
      <c r="E396" s="5"/>
    </row>
    <row r="397" spans="4:5" x14ac:dyDescent="0.2">
      <c r="D397" s="5"/>
      <c r="E397" s="5"/>
    </row>
    <row r="398" spans="4:5" x14ac:dyDescent="0.2">
      <c r="D398" s="5"/>
      <c r="E398" s="5"/>
    </row>
    <row r="399" spans="4:5" x14ac:dyDescent="0.2">
      <c r="D399" s="5"/>
      <c r="E399" s="5"/>
    </row>
    <row r="400" spans="4:5" x14ac:dyDescent="0.2">
      <c r="D400" s="5"/>
      <c r="E400" s="5"/>
    </row>
    <row r="401" spans="4:5" x14ac:dyDescent="0.2">
      <c r="D401" s="5"/>
      <c r="E401" s="5"/>
    </row>
    <row r="402" spans="4:5" x14ac:dyDescent="0.2">
      <c r="D402" s="5"/>
      <c r="E402" s="5"/>
    </row>
    <row r="403" spans="4:5" x14ac:dyDescent="0.2">
      <c r="D403" s="5"/>
      <c r="E403" s="5"/>
    </row>
    <row r="404" spans="4:5" x14ac:dyDescent="0.2">
      <c r="D404" s="5"/>
      <c r="E404" s="5"/>
    </row>
    <row r="405" spans="4:5" x14ac:dyDescent="0.2">
      <c r="D405" s="5"/>
      <c r="E405" s="5"/>
    </row>
    <row r="406" spans="4:5" x14ac:dyDescent="0.2">
      <c r="D406" s="5"/>
      <c r="E406" s="5"/>
    </row>
    <row r="407" spans="4:5" x14ac:dyDescent="0.2">
      <c r="D407" s="5"/>
      <c r="E407" s="5"/>
    </row>
    <row r="408" spans="4:5" x14ac:dyDescent="0.2">
      <c r="D408" s="5"/>
      <c r="E408" s="5"/>
    </row>
    <row r="409" spans="4:5" x14ac:dyDescent="0.2">
      <c r="D409" s="5"/>
      <c r="E409" s="5"/>
    </row>
    <row r="410" spans="4:5" x14ac:dyDescent="0.2">
      <c r="D410" s="5"/>
      <c r="E410" s="5"/>
    </row>
    <row r="411" spans="4:5" x14ac:dyDescent="0.2">
      <c r="D411" s="5"/>
      <c r="E411" s="5"/>
    </row>
    <row r="412" spans="4:5" x14ac:dyDescent="0.2">
      <c r="D412" s="5"/>
      <c r="E412" s="5"/>
    </row>
    <row r="413" spans="4:5" x14ac:dyDescent="0.2">
      <c r="D413" s="5"/>
      <c r="E413" s="5"/>
    </row>
    <row r="414" spans="4:5" x14ac:dyDescent="0.2">
      <c r="D414" s="5"/>
      <c r="E414" s="5"/>
    </row>
    <row r="415" spans="4:5" x14ac:dyDescent="0.2">
      <c r="D415" s="5"/>
      <c r="E415" s="5"/>
    </row>
    <row r="416" spans="4:5" x14ac:dyDescent="0.2">
      <c r="D416" s="5"/>
      <c r="E416" s="5"/>
    </row>
    <row r="417" spans="4:5" x14ac:dyDescent="0.2">
      <c r="D417" s="5"/>
      <c r="E417" s="5"/>
    </row>
    <row r="418" spans="4:5" x14ac:dyDescent="0.2">
      <c r="D418" s="5"/>
      <c r="E418" s="5"/>
    </row>
    <row r="419" spans="4:5" x14ac:dyDescent="0.2">
      <c r="D419" s="5"/>
      <c r="E419" s="5"/>
    </row>
    <row r="420" spans="4:5" x14ac:dyDescent="0.2">
      <c r="D420" s="5"/>
      <c r="E420" s="5"/>
    </row>
    <row r="421" spans="4:5" x14ac:dyDescent="0.2">
      <c r="D421" s="5"/>
      <c r="E421" s="5"/>
    </row>
    <row r="422" spans="4:5" x14ac:dyDescent="0.2">
      <c r="D422" s="5"/>
      <c r="E422" s="5"/>
    </row>
    <row r="423" spans="4:5" x14ac:dyDescent="0.2">
      <c r="D423" s="5"/>
      <c r="E423" s="5"/>
    </row>
    <row r="424" spans="4:5" x14ac:dyDescent="0.2">
      <c r="D424" s="5"/>
      <c r="E424" s="5"/>
    </row>
    <row r="425" spans="4:5" x14ac:dyDescent="0.2">
      <c r="D425" s="5"/>
      <c r="E425" s="5"/>
    </row>
    <row r="426" spans="4:5" x14ac:dyDescent="0.2">
      <c r="D426" s="5"/>
      <c r="E426" s="5"/>
    </row>
    <row r="427" spans="4:5" x14ac:dyDescent="0.2">
      <c r="D427" s="5"/>
      <c r="E427" s="5"/>
    </row>
    <row r="428" spans="4:5" x14ac:dyDescent="0.2">
      <c r="D428" s="5"/>
      <c r="E428" s="5"/>
    </row>
    <row r="429" spans="4:5" x14ac:dyDescent="0.2">
      <c r="D429" s="5"/>
      <c r="E429" s="5"/>
    </row>
    <row r="430" spans="4:5" x14ac:dyDescent="0.2">
      <c r="D430" s="5"/>
      <c r="E430" s="5"/>
    </row>
    <row r="431" spans="4:5" x14ac:dyDescent="0.2">
      <c r="D431" s="5"/>
      <c r="E431" s="5"/>
    </row>
    <row r="432" spans="4:5" x14ac:dyDescent="0.2">
      <c r="D432" s="5"/>
      <c r="E432" s="5"/>
    </row>
    <row r="433" spans="4:5" x14ac:dyDescent="0.2">
      <c r="D433" s="5"/>
      <c r="E433" s="5"/>
    </row>
    <row r="434" spans="4:5" x14ac:dyDescent="0.2">
      <c r="D434" s="5"/>
      <c r="E434" s="5"/>
    </row>
    <row r="435" spans="4:5" x14ac:dyDescent="0.2">
      <c r="D435" s="5"/>
      <c r="E435" s="5"/>
    </row>
    <row r="436" spans="4:5" x14ac:dyDescent="0.2">
      <c r="D436" s="5"/>
      <c r="E436" s="5"/>
    </row>
    <row r="437" spans="4:5" x14ac:dyDescent="0.2">
      <c r="D437" s="5"/>
      <c r="E437" s="5"/>
    </row>
    <row r="438" spans="4:5" x14ac:dyDescent="0.2">
      <c r="D438" s="5"/>
      <c r="E438" s="5"/>
    </row>
    <row r="439" spans="4:5" x14ac:dyDescent="0.2">
      <c r="D439" s="5"/>
      <c r="E439" s="5"/>
    </row>
    <row r="440" spans="4:5" x14ac:dyDescent="0.2">
      <c r="D440" s="5"/>
      <c r="E440" s="5"/>
    </row>
    <row r="441" spans="4:5" x14ac:dyDescent="0.2">
      <c r="D441" s="5"/>
      <c r="E441" s="5"/>
    </row>
    <row r="442" spans="4:5" x14ac:dyDescent="0.2">
      <c r="D442" s="5"/>
      <c r="E442" s="5"/>
    </row>
    <row r="443" spans="4:5" x14ac:dyDescent="0.2">
      <c r="D443" s="5"/>
      <c r="E443" s="5"/>
    </row>
    <row r="444" spans="4:5" x14ac:dyDescent="0.2">
      <c r="D444" s="5"/>
      <c r="E444" s="5"/>
    </row>
    <row r="445" spans="4:5" x14ac:dyDescent="0.2">
      <c r="D445" s="5"/>
      <c r="E445" s="5"/>
    </row>
    <row r="446" spans="4:5" x14ac:dyDescent="0.2">
      <c r="D446" s="5"/>
      <c r="E446" s="5"/>
    </row>
    <row r="447" spans="4:5" x14ac:dyDescent="0.2">
      <c r="D447" s="5"/>
      <c r="E447" s="5"/>
    </row>
    <row r="448" spans="4:5" x14ac:dyDescent="0.2">
      <c r="D448" s="5"/>
      <c r="E448" s="5"/>
    </row>
    <row r="449" spans="4:5" x14ac:dyDescent="0.2">
      <c r="D449" s="5"/>
      <c r="E449" s="5"/>
    </row>
    <row r="450" spans="4:5" x14ac:dyDescent="0.2">
      <c r="D450" s="5"/>
      <c r="E450" s="5"/>
    </row>
    <row r="451" spans="4:5" x14ac:dyDescent="0.2">
      <c r="D451" s="5"/>
      <c r="E451" s="5"/>
    </row>
    <row r="452" spans="4:5" x14ac:dyDescent="0.2">
      <c r="D452" s="5"/>
      <c r="E452" s="5"/>
    </row>
    <row r="453" spans="4:5" x14ac:dyDescent="0.2">
      <c r="D453" s="5"/>
      <c r="E453" s="5"/>
    </row>
    <row r="454" spans="4:5" x14ac:dyDescent="0.2">
      <c r="D454" s="5"/>
      <c r="E454" s="5"/>
    </row>
  </sheetData>
  <mergeCells count="14">
    <mergeCell ref="A1:E1"/>
    <mergeCell ref="A2:E2"/>
    <mergeCell ref="A3:E3"/>
    <mergeCell ref="B38:E38"/>
    <mergeCell ref="B37:E37"/>
    <mergeCell ref="A4:E4"/>
    <mergeCell ref="C5:C7"/>
    <mergeCell ref="A5:B7"/>
    <mergeCell ref="B52:E52"/>
    <mergeCell ref="B41:E41"/>
    <mergeCell ref="B42:E42"/>
    <mergeCell ref="B46:E46"/>
    <mergeCell ref="B47:E47"/>
    <mergeCell ref="B51:E51"/>
  </mergeCells>
  <phoneticPr fontId="0" type="noConversion"/>
  <printOptions horizontalCentered="1"/>
  <pageMargins left="0.59055118110236227" right="0.39370078740157483" top="1.1023622047244095" bottom="0.15748031496062992" header="0.51181102362204722" footer="0.1574803149606299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="75" workbookViewId="0">
      <selection activeCell="G11" sqref="G11"/>
    </sheetView>
  </sheetViews>
  <sheetFormatPr defaultRowHeight="12.75" x14ac:dyDescent="0.2"/>
  <cols>
    <col min="1" max="1" width="41.85546875" bestFit="1" customWidth="1"/>
    <col min="3" max="3" width="13.42578125" customWidth="1"/>
    <col min="4" max="4" width="2.5703125" customWidth="1"/>
    <col min="5" max="5" width="14.85546875" bestFit="1" customWidth="1"/>
  </cols>
  <sheetData>
    <row r="1" spans="1:6" ht="15" x14ac:dyDescent="0.25">
      <c r="A1" s="815" t="s">
        <v>420</v>
      </c>
      <c r="B1" s="815"/>
      <c r="C1" s="815"/>
      <c r="D1" s="815"/>
      <c r="E1" s="815"/>
    </row>
    <row r="2" spans="1:6" ht="14.25" x14ac:dyDescent="0.2">
      <c r="A2" s="186"/>
      <c r="B2" s="116"/>
      <c r="C2" s="187"/>
      <c r="D2" s="187"/>
    </row>
    <row r="3" spans="1:6" ht="15" x14ac:dyDescent="0.25">
      <c r="A3" s="816" t="s">
        <v>421</v>
      </c>
      <c r="B3" s="816"/>
      <c r="C3" s="816"/>
      <c r="D3" s="816"/>
      <c r="E3" s="816"/>
    </row>
    <row r="4" spans="1:6" ht="14.25" x14ac:dyDescent="0.2">
      <c r="A4" s="116"/>
      <c r="B4" s="116"/>
      <c r="C4" s="187"/>
      <c r="D4" s="187"/>
    </row>
    <row r="5" spans="1:6" ht="14.25" x14ac:dyDescent="0.2">
      <c r="A5" s="118" t="s">
        <v>422</v>
      </c>
      <c r="B5" s="118" t="s">
        <v>1</v>
      </c>
      <c r="C5" s="188" t="s">
        <v>423</v>
      </c>
      <c r="E5" s="188" t="s">
        <v>423</v>
      </c>
    </row>
    <row r="6" spans="1:6" ht="14.25" x14ac:dyDescent="0.2">
      <c r="A6" s="116"/>
      <c r="B6" s="118"/>
      <c r="C6" s="188" t="s">
        <v>15</v>
      </c>
      <c r="E6" s="188" t="s">
        <v>15</v>
      </c>
    </row>
    <row r="7" spans="1:6" ht="14.25" x14ac:dyDescent="0.2">
      <c r="A7" s="116"/>
      <c r="B7" s="116"/>
      <c r="C7" s="189" t="s">
        <v>424</v>
      </c>
      <c r="E7" s="189" t="s">
        <v>44</v>
      </c>
    </row>
    <row r="8" spans="1:6" ht="14.25" x14ac:dyDescent="0.2">
      <c r="A8" s="116"/>
      <c r="B8" s="116"/>
      <c r="C8" s="817" t="s">
        <v>425</v>
      </c>
      <c r="D8" s="817"/>
      <c r="E8" s="817"/>
      <c r="F8" s="187"/>
    </row>
    <row r="9" spans="1:6" ht="15" x14ac:dyDescent="0.25">
      <c r="A9" s="123" t="s">
        <v>8</v>
      </c>
      <c r="B9" s="116"/>
      <c r="C9" s="187"/>
      <c r="E9" s="187"/>
    </row>
    <row r="10" spans="1:6" ht="14.25" x14ac:dyDescent="0.2">
      <c r="A10" s="190" t="s">
        <v>426</v>
      </c>
      <c r="B10" s="191">
        <v>10</v>
      </c>
      <c r="C10" s="192">
        <f>'[1]PL Schedule'!C14</f>
        <v>1646000</v>
      </c>
      <c r="E10" s="187">
        <f>'[1]PL Schedule'!E14</f>
        <v>6187524</v>
      </c>
    </row>
    <row r="11" spans="1:6" ht="14.25" x14ac:dyDescent="0.2">
      <c r="A11" s="190" t="s">
        <v>427</v>
      </c>
      <c r="B11" s="191"/>
      <c r="C11" s="192">
        <f>1179850</f>
        <v>1179850</v>
      </c>
      <c r="E11" s="193">
        <f>0</f>
        <v>0</v>
      </c>
    </row>
    <row r="12" spans="1:6" ht="14.25" x14ac:dyDescent="0.2">
      <c r="A12" s="190" t="s">
        <v>428</v>
      </c>
      <c r="B12" s="191">
        <v>11</v>
      </c>
      <c r="C12" s="194">
        <f>'[1]PL Schedule'!C20</f>
        <v>-5020</v>
      </c>
      <c r="E12" s="192">
        <f>'[1]PL Schedule'!E20</f>
        <v>5640</v>
      </c>
    </row>
    <row r="13" spans="1:6" ht="14.25" x14ac:dyDescent="0.2">
      <c r="A13" s="116"/>
      <c r="B13" s="116"/>
      <c r="C13" s="192"/>
      <c r="E13" s="192"/>
    </row>
    <row r="14" spans="1:6" ht="14.25" x14ac:dyDescent="0.2">
      <c r="A14" s="195" t="s">
        <v>253</v>
      </c>
      <c r="B14" s="116"/>
      <c r="C14" s="196">
        <f>SUM(C10:C13)</f>
        <v>2820830</v>
      </c>
      <c r="E14" s="196">
        <f>SUM(E10:E12)</f>
        <v>6193164</v>
      </c>
    </row>
    <row r="15" spans="1:6" ht="14.25" x14ac:dyDescent="0.2">
      <c r="A15" s="116"/>
      <c r="B15" s="116"/>
      <c r="C15" s="192"/>
      <c r="E15" s="192"/>
    </row>
    <row r="16" spans="1:6" ht="15" x14ac:dyDescent="0.25">
      <c r="A16" s="123" t="s">
        <v>9</v>
      </c>
      <c r="B16" s="116"/>
      <c r="C16" s="192"/>
      <c r="E16" s="192"/>
    </row>
    <row r="17" spans="1:10" ht="14.25" x14ac:dyDescent="0.2">
      <c r="A17" s="190" t="s">
        <v>429</v>
      </c>
      <c r="B17" s="191">
        <v>12</v>
      </c>
      <c r="C17" s="192">
        <f>'[1]PL Schedule'!C39</f>
        <v>509216</v>
      </c>
      <c r="E17" s="192">
        <f>'[1]PL Schedule'!E39</f>
        <v>2504582</v>
      </c>
    </row>
    <row r="18" spans="1:10" ht="14.25" x14ac:dyDescent="0.2">
      <c r="A18" s="190" t="s">
        <v>430</v>
      </c>
      <c r="B18" s="191">
        <v>13</v>
      </c>
      <c r="C18" s="192">
        <f>'[1]PL Schedule'!C73</f>
        <v>685771</v>
      </c>
      <c r="E18" s="192">
        <f>'[1]PL Schedule'!E73-1</f>
        <v>2566290</v>
      </c>
    </row>
    <row r="19" spans="1:10" ht="14.25" x14ac:dyDescent="0.2">
      <c r="A19" s="190" t="s">
        <v>431</v>
      </c>
      <c r="B19" s="191">
        <v>14</v>
      </c>
      <c r="C19" s="192">
        <f>'[1]PL Schedule'!C81</f>
        <v>873647.87000000011</v>
      </c>
      <c r="E19" s="192">
        <f>'[1]PL Schedule'!E81</f>
        <v>665394</v>
      </c>
    </row>
    <row r="20" spans="1:10" ht="14.25" x14ac:dyDescent="0.2">
      <c r="A20" s="190" t="s">
        <v>10</v>
      </c>
      <c r="B20" s="191">
        <v>5</v>
      </c>
      <c r="C20" s="192">
        <f>[1]DEP!H21</f>
        <v>430050.17659863015</v>
      </c>
      <c r="E20" s="192">
        <f>[1]DEP!H23</f>
        <v>261411</v>
      </c>
    </row>
    <row r="21" spans="1:10" ht="14.25" x14ac:dyDescent="0.2">
      <c r="A21" s="190" t="s">
        <v>48</v>
      </c>
      <c r="B21" s="191"/>
      <c r="C21" s="192">
        <v>42490</v>
      </c>
      <c r="E21" s="197">
        <f>20348</f>
        <v>20348</v>
      </c>
    </row>
    <row r="22" spans="1:10" ht="14.25" x14ac:dyDescent="0.2">
      <c r="A22" s="198"/>
      <c r="B22" s="116"/>
      <c r="C22" s="192"/>
      <c r="E22" s="192"/>
    </row>
    <row r="23" spans="1:10" ht="14.25" x14ac:dyDescent="0.2">
      <c r="A23" s="195" t="s">
        <v>253</v>
      </c>
      <c r="B23" s="116"/>
      <c r="C23" s="196">
        <f>SUM(C17:C22)</f>
        <v>2541175.04659863</v>
      </c>
      <c r="E23" s="196">
        <f>SUM(E17:E22)</f>
        <v>6018025</v>
      </c>
    </row>
    <row r="24" spans="1:10" ht="14.25" x14ac:dyDescent="0.2">
      <c r="A24" s="116"/>
      <c r="B24" s="116"/>
      <c r="C24" s="192"/>
      <c r="E24" s="192"/>
    </row>
    <row r="25" spans="1:10" ht="14.25" x14ac:dyDescent="0.2">
      <c r="A25" s="116" t="s">
        <v>432</v>
      </c>
      <c r="B25" s="116"/>
      <c r="C25" s="194">
        <f>C14-C23</f>
        <v>279654.95340136997</v>
      </c>
      <c r="E25" s="192">
        <f>E14-E23</f>
        <v>175139</v>
      </c>
    </row>
    <row r="26" spans="1:10" ht="14.25" x14ac:dyDescent="0.2">
      <c r="A26" s="116" t="s">
        <v>433</v>
      </c>
      <c r="B26" s="116"/>
      <c r="C26" s="194">
        <f>-26209+12438</f>
        <v>-13771</v>
      </c>
      <c r="E26" s="192"/>
    </row>
    <row r="27" spans="1:10" ht="14.25" x14ac:dyDescent="0.2">
      <c r="A27" s="116" t="s">
        <v>434</v>
      </c>
      <c r="B27" s="116"/>
      <c r="C27" s="192"/>
      <c r="E27" s="192"/>
    </row>
    <row r="28" spans="1:10" ht="14.25" x14ac:dyDescent="0.2">
      <c r="A28" s="190" t="s">
        <v>435</v>
      </c>
      <c r="B28" s="116"/>
      <c r="C28" s="199">
        <f>450000</f>
        <v>450000</v>
      </c>
      <c r="E28" s="192">
        <f>95392</f>
        <v>95392</v>
      </c>
    </row>
    <row r="29" spans="1:10" ht="14.25" x14ac:dyDescent="0.2">
      <c r="A29" s="190" t="s">
        <v>276</v>
      </c>
      <c r="B29" s="116"/>
      <c r="C29" s="192">
        <f>4958</f>
        <v>4958</v>
      </c>
      <c r="E29" s="192">
        <f>8777</f>
        <v>8777</v>
      </c>
    </row>
    <row r="30" spans="1:10" ht="14.25" x14ac:dyDescent="0.2">
      <c r="A30" s="190" t="s">
        <v>436</v>
      </c>
      <c r="B30" s="116"/>
      <c r="C30" s="192"/>
      <c r="E30" s="192">
        <f>54233</f>
        <v>54233</v>
      </c>
    </row>
    <row r="31" spans="1:10" ht="14.25" x14ac:dyDescent="0.2">
      <c r="A31" s="116" t="s">
        <v>437</v>
      </c>
      <c r="B31" s="116"/>
      <c r="C31" s="194">
        <f>C25-SUM(C26:C30)</f>
        <v>-161532.04659863003</v>
      </c>
      <c r="E31" s="192">
        <f>E25-E28-E29-E30</f>
        <v>16737</v>
      </c>
      <c r="H31">
        <f>200345+13771</f>
        <v>214116</v>
      </c>
      <c r="I31">
        <v>1058</v>
      </c>
      <c r="J31">
        <f>+H31-I31</f>
        <v>213058</v>
      </c>
    </row>
    <row r="32" spans="1:10" ht="14.25" x14ac:dyDescent="0.2">
      <c r="A32" s="116" t="s">
        <v>438</v>
      </c>
      <c r="B32" s="116"/>
      <c r="C32" s="200">
        <f>E33</f>
        <v>742741</v>
      </c>
      <c r="E32" s="200">
        <f>726004</f>
        <v>726004</v>
      </c>
    </row>
    <row r="33" spans="1:5" ht="14.25" x14ac:dyDescent="0.2">
      <c r="A33" s="116" t="s">
        <v>11</v>
      </c>
      <c r="B33" s="116"/>
      <c r="C33" s="196">
        <f>SUM(C31:C32)</f>
        <v>581208.95340136997</v>
      </c>
      <c r="E33" s="196">
        <f>SUM(E31:E32)</f>
        <v>742741</v>
      </c>
    </row>
    <row r="34" spans="1:5" ht="14.25" x14ac:dyDescent="0.2">
      <c r="A34" s="201"/>
      <c r="B34" s="201"/>
      <c r="C34" s="202"/>
      <c r="D34" s="202"/>
      <c r="E34" s="203"/>
    </row>
    <row r="35" spans="1:5" ht="14.25" x14ac:dyDescent="0.2">
      <c r="A35" s="116"/>
      <c r="B35" s="118"/>
      <c r="C35" s="187"/>
      <c r="D35" s="187"/>
      <c r="E35" s="187"/>
    </row>
    <row r="36" spans="1:5" ht="14.25" x14ac:dyDescent="0.2">
      <c r="A36" s="116" t="s">
        <v>439</v>
      </c>
      <c r="B36" s="118">
        <v>16</v>
      </c>
      <c r="C36" s="187"/>
      <c r="D36" s="187"/>
    </row>
    <row r="37" spans="1:5" ht="14.25" x14ac:dyDescent="0.2">
      <c r="A37" s="116"/>
      <c r="B37" s="118"/>
      <c r="C37" s="187"/>
      <c r="D37" s="187"/>
    </row>
    <row r="38" spans="1:5" ht="15" x14ac:dyDescent="0.25">
      <c r="A38" s="123" t="s">
        <v>440</v>
      </c>
      <c r="B38" s="116"/>
      <c r="C38" s="187"/>
      <c r="D38" s="187"/>
    </row>
    <row r="39" spans="1:5" ht="15" x14ac:dyDescent="0.25">
      <c r="A39" s="116" t="s">
        <v>441</v>
      </c>
      <c r="B39" s="116"/>
      <c r="C39" s="187"/>
      <c r="D39" s="187"/>
    </row>
    <row r="40" spans="1:5" ht="15" x14ac:dyDescent="0.25">
      <c r="A40" s="116" t="s">
        <v>416</v>
      </c>
      <c r="B40" s="204" t="s">
        <v>417</v>
      </c>
      <c r="C40" s="205"/>
      <c r="D40" s="187"/>
    </row>
    <row r="41" spans="1:5" ht="15" x14ac:dyDescent="0.25">
      <c r="A41" s="116"/>
      <c r="B41" s="204"/>
      <c r="C41" s="205"/>
      <c r="D41" s="187"/>
    </row>
    <row r="42" spans="1:5" ht="15" x14ac:dyDescent="0.25">
      <c r="A42" s="123"/>
      <c r="B42" s="204"/>
      <c r="C42" s="205"/>
      <c r="D42" s="187"/>
    </row>
    <row r="43" spans="1:5" ht="15" x14ac:dyDescent="0.25">
      <c r="A43" s="123"/>
      <c r="B43" s="204"/>
      <c r="C43" s="205"/>
      <c r="D43" s="187"/>
    </row>
    <row r="44" spans="1:5" ht="15" x14ac:dyDescent="0.25">
      <c r="A44" s="123" t="s">
        <v>418</v>
      </c>
      <c r="B44" s="204" t="s">
        <v>12</v>
      </c>
      <c r="C44" s="205"/>
      <c r="D44" s="204"/>
      <c r="E44" s="204" t="s">
        <v>45</v>
      </c>
    </row>
    <row r="45" spans="1:5" ht="15" x14ac:dyDescent="0.25">
      <c r="A45" s="116" t="s">
        <v>442</v>
      </c>
      <c r="B45" s="198" t="s">
        <v>13</v>
      </c>
      <c r="C45" s="205"/>
      <c r="D45" s="204"/>
      <c r="E45" s="198" t="s">
        <v>13</v>
      </c>
    </row>
    <row r="46" spans="1:5" ht="14.25" x14ac:dyDescent="0.2">
      <c r="A46" s="116"/>
      <c r="B46" s="198"/>
      <c r="C46" s="187"/>
      <c r="D46" s="187"/>
    </row>
    <row r="47" spans="1:5" ht="14.25" x14ac:dyDescent="0.2">
      <c r="A47" s="116" t="s">
        <v>443</v>
      </c>
      <c r="B47" s="198"/>
      <c r="C47" s="187"/>
      <c r="D47" s="187"/>
    </row>
    <row r="48" spans="1:5" ht="15" x14ac:dyDescent="0.25">
      <c r="A48" s="186" t="s">
        <v>444</v>
      </c>
      <c r="B48" s="204"/>
      <c r="C48" s="205"/>
      <c r="D48" s="187"/>
    </row>
    <row r="49" spans="1:4" ht="15" x14ac:dyDescent="0.25">
      <c r="A49" s="186"/>
      <c r="B49" s="198"/>
      <c r="C49" s="205"/>
      <c r="D49" s="187"/>
    </row>
    <row r="50" spans="1:4" ht="14.25" x14ac:dyDescent="0.2">
      <c r="A50" s="116"/>
      <c r="B50" s="116"/>
      <c r="C50" s="187"/>
      <c r="D50" s="187"/>
    </row>
  </sheetData>
  <mergeCells count="3">
    <mergeCell ref="A1:E1"/>
    <mergeCell ref="A3:E3"/>
    <mergeCell ref="C8:E8"/>
  </mergeCells>
  <phoneticPr fontId="0" type="noConversion"/>
  <pageMargins left="0.75" right="0.75" top="1" bottom="1" header="0.5" footer="0.5"/>
  <pageSetup scale="92" orientation="portrait" r:id="rId1"/>
  <headerFooter alignWithMargins="0"/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4"/>
  <sheetViews>
    <sheetView workbookViewId="0">
      <selection activeCell="G13" sqref="G13"/>
    </sheetView>
  </sheetViews>
  <sheetFormatPr defaultColWidth="9.140625" defaultRowHeight="12.75" x14ac:dyDescent="0.2"/>
  <cols>
    <col min="1" max="1" width="24" style="2" customWidth="1"/>
    <col min="2" max="2" width="12.5703125" style="2" customWidth="1"/>
    <col min="3" max="3" width="10.85546875" style="2" customWidth="1"/>
    <col min="4" max="4" width="11.7109375" style="2" customWidth="1"/>
    <col min="5" max="5" width="11.28515625" style="2" customWidth="1"/>
    <col min="6" max="7" width="11.7109375" style="2" customWidth="1"/>
    <col min="8" max="8" width="12.140625" style="2" customWidth="1"/>
    <col min="9" max="9" width="12.5703125" style="2" customWidth="1"/>
    <col min="10" max="10" width="13" style="2" customWidth="1"/>
    <col min="11" max="11" width="11.5703125" style="2" customWidth="1"/>
    <col min="12" max="12" width="9.140625" style="2"/>
    <col min="13" max="13" width="28.5703125" style="2" customWidth="1"/>
    <col min="14" max="14" width="18.28515625" style="2" customWidth="1"/>
    <col min="15" max="15" width="15.28515625" style="2" customWidth="1"/>
    <col min="16" max="16" width="16" style="2" customWidth="1"/>
    <col min="17" max="17" width="13.7109375" style="2" customWidth="1"/>
    <col min="18" max="18" width="17.28515625" style="2" customWidth="1"/>
    <col min="19" max="16384" width="9.140625" style="2"/>
  </cols>
  <sheetData>
    <row r="3" spans="1:12" ht="15" x14ac:dyDescent="0.25">
      <c r="A3" s="18" t="s">
        <v>43</v>
      </c>
      <c r="B3" s="9"/>
      <c r="C3" s="9"/>
      <c r="D3" s="9"/>
      <c r="E3" s="9"/>
      <c r="F3" s="9"/>
      <c r="G3" s="9"/>
      <c r="H3" s="9"/>
      <c r="I3" s="9"/>
      <c r="J3" s="36" t="s">
        <v>25</v>
      </c>
      <c r="K3" s="9"/>
      <c r="L3" s="9"/>
    </row>
    <row r="4" spans="1:12" ht="15" x14ac:dyDescent="0.25">
      <c r="A4" s="9"/>
      <c r="B4" s="9"/>
      <c r="C4" s="9"/>
      <c r="D4" s="19"/>
      <c r="E4" s="20"/>
      <c r="F4" s="9"/>
      <c r="G4" s="9"/>
      <c r="H4" s="21" t="s">
        <v>26</v>
      </c>
      <c r="I4" s="9"/>
      <c r="J4" s="9"/>
      <c r="K4" s="9"/>
      <c r="L4" s="9"/>
    </row>
    <row r="5" spans="1:12" ht="15" x14ac:dyDescent="0.25">
      <c r="A5" s="161"/>
      <c r="B5" s="818" t="s">
        <v>27</v>
      </c>
      <c r="C5" s="819"/>
      <c r="D5" s="819"/>
      <c r="E5" s="820"/>
      <c r="F5" s="818" t="s">
        <v>28</v>
      </c>
      <c r="G5" s="819"/>
      <c r="H5" s="819"/>
      <c r="I5" s="820"/>
      <c r="J5" s="818" t="s">
        <v>29</v>
      </c>
      <c r="K5" s="820"/>
      <c r="L5" s="9"/>
    </row>
    <row r="6" spans="1:12" ht="15" x14ac:dyDescent="0.25">
      <c r="A6" s="162" t="s">
        <v>30</v>
      </c>
      <c r="B6" s="37" t="s">
        <v>2</v>
      </c>
      <c r="C6" s="22" t="s">
        <v>31</v>
      </c>
      <c r="D6" s="22" t="s">
        <v>32</v>
      </c>
      <c r="E6" s="23" t="s">
        <v>2</v>
      </c>
      <c r="F6" s="22" t="s">
        <v>33</v>
      </c>
      <c r="G6" s="22" t="s">
        <v>34</v>
      </c>
      <c r="H6" s="24" t="s">
        <v>32</v>
      </c>
      <c r="I6" s="25" t="s">
        <v>35</v>
      </c>
      <c r="J6" s="37" t="s">
        <v>2</v>
      </c>
      <c r="K6" s="23" t="s">
        <v>2</v>
      </c>
      <c r="L6" s="9"/>
    </row>
    <row r="7" spans="1:12" ht="15" x14ac:dyDescent="0.25">
      <c r="A7" s="163"/>
      <c r="B7" s="26" t="s">
        <v>3</v>
      </c>
      <c r="C7" s="27"/>
      <c r="D7" s="27"/>
      <c r="E7" s="28" t="s">
        <v>44</v>
      </c>
      <c r="F7" s="29" t="s">
        <v>3</v>
      </c>
      <c r="G7" s="29" t="s">
        <v>36</v>
      </c>
      <c r="H7" s="29"/>
      <c r="I7" s="28" t="s">
        <v>44</v>
      </c>
      <c r="J7" s="30" t="s">
        <v>44</v>
      </c>
      <c r="K7" s="28" t="s">
        <v>3</v>
      </c>
      <c r="L7" s="9"/>
    </row>
    <row r="8" spans="1:12" ht="15" x14ac:dyDescent="0.25">
      <c r="A8" s="164"/>
      <c r="B8" s="9"/>
      <c r="C8" s="9"/>
      <c r="D8" s="9"/>
      <c r="E8" s="31"/>
      <c r="F8" s="9"/>
      <c r="G8" s="9"/>
      <c r="H8" s="9"/>
      <c r="I8" s="31"/>
      <c r="J8" s="38"/>
      <c r="K8" s="31"/>
      <c r="L8" s="9"/>
    </row>
    <row r="9" spans="1:12" ht="15" x14ac:dyDescent="0.25">
      <c r="A9" s="164" t="s">
        <v>37</v>
      </c>
      <c r="B9" s="6">
        <v>4923097</v>
      </c>
      <c r="C9" s="156">
        <v>0</v>
      </c>
      <c r="D9" s="156">
        <v>0</v>
      </c>
      <c r="E9" s="32">
        <f>+B9+C9-D9</f>
        <v>4923097</v>
      </c>
      <c r="F9" s="156">
        <v>0</v>
      </c>
      <c r="G9" s="156">
        <v>0</v>
      </c>
      <c r="H9" s="156">
        <v>0</v>
      </c>
      <c r="I9" s="157">
        <f>+F9+G9-H9</f>
        <v>0</v>
      </c>
      <c r="J9" s="39">
        <f>+E9-I9</f>
        <v>4923097</v>
      </c>
      <c r="K9" s="32">
        <v>4923097</v>
      </c>
      <c r="L9" s="9"/>
    </row>
    <row r="10" spans="1:12" ht="15" x14ac:dyDescent="0.25">
      <c r="A10" s="164"/>
      <c r="B10" s="6"/>
      <c r="C10" s="6"/>
      <c r="D10" s="6"/>
      <c r="E10" s="32"/>
      <c r="F10" s="156"/>
      <c r="G10" s="6"/>
      <c r="H10" s="156"/>
      <c r="I10" s="32"/>
      <c r="J10" s="39"/>
      <c r="K10" s="32" t="s">
        <v>0</v>
      </c>
      <c r="L10" s="9"/>
    </row>
    <row r="11" spans="1:12" ht="15" x14ac:dyDescent="0.25">
      <c r="A11" s="164" t="s">
        <v>38</v>
      </c>
      <c r="B11" s="6">
        <v>2956649</v>
      </c>
      <c r="C11" s="156">
        <v>0</v>
      </c>
      <c r="D11" s="156">
        <v>0</v>
      </c>
      <c r="E11" s="32">
        <f>+B11+C11-D11</f>
        <v>2956649</v>
      </c>
      <c r="F11" s="6">
        <v>285052</v>
      </c>
      <c r="G11" s="6">
        <f>'Depreciation calculation'!G25</f>
        <v>165525.30601092899</v>
      </c>
      <c r="H11" s="156">
        <v>0</v>
      </c>
      <c r="I11" s="32">
        <f>+F11+G11-H11</f>
        <v>450577.30601092899</v>
      </c>
      <c r="J11" s="39">
        <f>+E11-I11</f>
        <v>2506071.6939890711</v>
      </c>
      <c r="K11" s="32">
        <v>2671597</v>
      </c>
      <c r="L11" s="9"/>
    </row>
    <row r="12" spans="1:12" ht="15" x14ac:dyDescent="0.25">
      <c r="A12" s="164"/>
      <c r="B12" s="6"/>
      <c r="C12" s="6"/>
      <c r="D12" s="6"/>
      <c r="E12" s="32"/>
      <c r="F12" s="6"/>
      <c r="G12" s="6"/>
      <c r="H12" s="156"/>
      <c r="I12" s="32"/>
      <c r="J12" s="39"/>
      <c r="K12" s="32" t="s">
        <v>0</v>
      </c>
      <c r="L12" s="9"/>
    </row>
    <row r="13" spans="1:12" ht="15" x14ac:dyDescent="0.25">
      <c r="A13" s="164" t="s">
        <v>39</v>
      </c>
      <c r="B13" s="6">
        <v>479773</v>
      </c>
      <c r="C13" s="156">
        <v>0</v>
      </c>
      <c r="D13" s="156">
        <v>0</v>
      </c>
      <c r="E13" s="32">
        <f>+B13+C13-D13</f>
        <v>479773</v>
      </c>
      <c r="F13" s="6">
        <v>125703</v>
      </c>
      <c r="G13" s="6">
        <f>'Depreciation calculation'!G16</f>
        <v>19335.757023224043</v>
      </c>
      <c r="H13" s="156">
        <v>0</v>
      </c>
      <c r="I13" s="32">
        <f>+F13+G13-H13</f>
        <v>145038.75702322405</v>
      </c>
      <c r="J13" s="39">
        <f>+E13-I13</f>
        <v>334734.24297677597</v>
      </c>
      <c r="K13" s="32">
        <v>354070</v>
      </c>
      <c r="L13" s="9"/>
    </row>
    <row r="14" spans="1:12" ht="15" x14ac:dyDescent="0.25">
      <c r="A14" s="164"/>
      <c r="B14" s="6"/>
      <c r="C14" s="6"/>
      <c r="D14" s="6"/>
      <c r="E14" s="32"/>
      <c r="F14" s="6"/>
      <c r="G14" s="6"/>
      <c r="H14" s="156"/>
      <c r="I14" s="32"/>
      <c r="J14" s="39"/>
      <c r="K14" s="32"/>
      <c r="L14" s="9"/>
    </row>
    <row r="15" spans="1:12" ht="15" x14ac:dyDescent="0.25">
      <c r="A15" s="164" t="s">
        <v>40</v>
      </c>
      <c r="B15" s="6">
        <v>21002</v>
      </c>
      <c r="C15" s="156">
        <v>0</v>
      </c>
      <c r="D15" s="156">
        <v>0</v>
      </c>
      <c r="E15" s="32">
        <f>+B15+C15-D15</f>
        <v>21002</v>
      </c>
      <c r="F15" s="6">
        <v>9191</v>
      </c>
      <c r="G15" s="6">
        <f>'Depreciation calculation'!G28</f>
        <v>1642.9101000000003</v>
      </c>
      <c r="H15" s="156">
        <v>0</v>
      </c>
      <c r="I15" s="32">
        <f>+F15+G15-H15</f>
        <v>10833.910100000001</v>
      </c>
      <c r="J15" s="39">
        <f>+E15-I15</f>
        <v>10168.089899999999</v>
      </c>
      <c r="K15" s="32">
        <v>11811</v>
      </c>
      <c r="L15" s="9"/>
    </row>
    <row r="16" spans="1:12" ht="15" x14ac:dyDescent="0.25">
      <c r="A16" s="164"/>
      <c r="B16" s="6"/>
      <c r="C16" s="6"/>
      <c r="D16" s="6"/>
      <c r="E16" s="32"/>
      <c r="F16" s="6"/>
      <c r="G16" s="6"/>
      <c r="H16" s="6"/>
      <c r="I16" s="32"/>
      <c r="J16" s="39"/>
      <c r="K16" s="32"/>
      <c r="L16" s="9"/>
    </row>
    <row r="17" spans="1:12" ht="15" x14ac:dyDescent="0.25">
      <c r="A17" s="164" t="s">
        <v>41</v>
      </c>
      <c r="B17" s="6">
        <v>512562</v>
      </c>
      <c r="C17" s="156">
        <v>0</v>
      </c>
      <c r="D17" s="6">
        <f>B17</f>
        <v>512562</v>
      </c>
      <c r="E17" s="157">
        <f>B17-D17</f>
        <v>0</v>
      </c>
      <c r="F17" s="6">
        <v>177307</v>
      </c>
      <c r="G17" s="6">
        <f>'Depreciation calculation'!G31</f>
        <v>74907.448335616442</v>
      </c>
      <c r="H17" s="6">
        <f>D17-SUM(F17+G17)</f>
        <v>260347.55166438356</v>
      </c>
      <c r="I17" s="157">
        <f>D17-SUM(F17:H17)</f>
        <v>0</v>
      </c>
      <c r="J17" s="160">
        <f>0</f>
        <v>0</v>
      </c>
      <c r="K17" s="32">
        <v>335255</v>
      </c>
      <c r="L17" s="9"/>
    </row>
    <row r="18" spans="1:12" ht="15" x14ac:dyDescent="0.25">
      <c r="A18" s="164"/>
      <c r="B18" s="6"/>
      <c r="C18" s="6"/>
      <c r="D18" s="6"/>
      <c r="E18" s="32"/>
      <c r="F18" s="6"/>
      <c r="G18" s="6"/>
      <c r="H18" s="6"/>
      <c r="I18" s="32"/>
      <c r="J18" s="39"/>
      <c r="K18" s="32"/>
      <c r="L18" s="9"/>
    </row>
    <row r="19" spans="1:12" ht="15" x14ac:dyDescent="0.25">
      <c r="A19" s="164"/>
      <c r="B19" s="33">
        <f t="shared" ref="B19:K19" si="0">SUM(B9:B17)</f>
        <v>8893083</v>
      </c>
      <c r="C19" s="159">
        <f t="shared" si="0"/>
        <v>0</v>
      </c>
      <c r="D19" s="33">
        <f t="shared" si="0"/>
        <v>512562</v>
      </c>
      <c r="E19" s="34">
        <f t="shared" si="0"/>
        <v>8380521</v>
      </c>
      <c r="F19" s="33">
        <f t="shared" si="0"/>
        <v>597253</v>
      </c>
      <c r="G19" s="33">
        <f>SUM(G8:G18)</f>
        <v>261411.4214697695</v>
      </c>
      <c r="H19" s="33">
        <f t="shared" si="0"/>
        <v>260347.55166438356</v>
      </c>
      <c r="I19" s="34">
        <f t="shared" si="0"/>
        <v>606449.97313415306</v>
      </c>
      <c r="J19" s="40">
        <f t="shared" si="0"/>
        <v>7774071.0268658474</v>
      </c>
      <c r="K19" s="34">
        <f t="shared" si="0"/>
        <v>8295830</v>
      </c>
      <c r="L19" s="9"/>
    </row>
    <row r="20" spans="1:12" ht="15" x14ac:dyDescent="0.25">
      <c r="A20" s="164"/>
      <c r="B20" s="6"/>
      <c r="C20" s="6"/>
      <c r="D20" s="6"/>
      <c r="E20" s="32"/>
      <c r="F20" s="6"/>
      <c r="G20" s="6"/>
      <c r="H20" s="6"/>
      <c r="I20" s="32"/>
      <c r="J20" s="166"/>
      <c r="K20" s="167"/>
      <c r="L20" s="9"/>
    </row>
    <row r="21" spans="1:12" ht="15" x14ac:dyDescent="0.25">
      <c r="A21" s="165" t="s">
        <v>42</v>
      </c>
      <c r="B21" s="8">
        <v>6072933</v>
      </c>
      <c r="C21" s="8">
        <v>2820150</v>
      </c>
      <c r="D21" s="158">
        <v>0</v>
      </c>
      <c r="E21" s="35">
        <v>8893083</v>
      </c>
      <c r="F21" s="8">
        <v>271282</v>
      </c>
      <c r="G21" s="8">
        <v>325971</v>
      </c>
      <c r="H21" s="8">
        <f>SUM(H13:H19)</f>
        <v>520695.10332876712</v>
      </c>
      <c r="I21" s="35">
        <v>597253</v>
      </c>
      <c r="J21" s="41">
        <v>8295830</v>
      </c>
      <c r="K21" s="35">
        <v>5801651</v>
      </c>
      <c r="L21" s="9"/>
    </row>
    <row r="22" spans="1:12" ht="15" x14ac:dyDescent="0.25">
      <c r="A22" s="9"/>
      <c r="B22" s="7"/>
      <c r="C22" s="7"/>
      <c r="D22" s="7"/>
      <c r="E22" s="7"/>
      <c r="F22" s="7"/>
      <c r="G22" s="7"/>
      <c r="H22" s="7"/>
      <c r="I22" s="7"/>
      <c r="J22" s="7"/>
      <c r="K22" s="7"/>
      <c r="L22" s="9"/>
    </row>
    <row r="23" spans="1:12" ht="15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15" x14ac:dyDescent="0.25">
      <c r="A24" s="9"/>
      <c r="B24" s="9"/>
      <c r="C24" s="9"/>
      <c r="D24" s="9"/>
      <c r="E24" s="6"/>
      <c r="F24" s="4"/>
      <c r="H24" s="4"/>
      <c r="I24" s="6"/>
      <c r="J24" s="6"/>
      <c r="K24" s="6"/>
    </row>
    <row r="25" spans="1:12" ht="15" x14ac:dyDescent="0.25">
      <c r="A25" s="9"/>
      <c r="B25" s="9"/>
      <c r="C25" s="9"/>
      <c r="D25" s="9"/>
      <c r="E25" s="6"/>
      <c r="F25" s="4"/>
      <c r="I25" s="9"/>
      <c r="J25" s="6"/>
      <c r="K25" s="6"/>
      <c r="L25" s="4"/>
    </row>
    <row r="26" spans="1:12" ht="15.75" x14ac:dyDescent="0.25">
      <c r="A26" s="11"/>
      <c r="B26" s="11"/>
      <c r="C26" s="11"/>
      <c r="D26" s="11"/>
      <c r="E26" s="12"/>
      <c r="F26" s="12"/>
      <c r="H26" s="6"/>
      <c r="I26" s="12"/>
      <c r="J26" s="12"/>
      <c r="K26" s="12"/>
    </row>
    <row r="27" spans="1:12" ht="15.75" x14ac:dyDescent="0.25">
      <c r="A27" s="11"/>
      <c r="B27" s="11"/>
      <c r="C27" s="11"/>
      <c r="D27" s="11"/>
      <c r="E27" s="11"/>
      <c r="F27" s="4"/>
      <c r="I27" s="11"/>
      <c r="J27" s="11"/>
    </row>
    <row r="28" spans="1:12" ht="15.75" x14ac:dyDescent="0.25">
      <c r="A28" s="11"/>
      <c r="B28" s="11"/>
      <c r="C28" s="11"/>
      <c r="D28" s="11"/>
      <c r="E28" s="11"/>
      <c r="F28" s="12"/>
      <c r="G28" s="11"/>
      <c r="H28" s="11"/>
      <c r="I28" s="11"/>
      <c r="J28" s="11"/>
      <c r="K28" s="11"/>
    </row>
    <row r="29" spans="1:12" ht="15.75" x14ac:dyDescent="0.25">
      <c r="A29" s="11"/>
      <c r="C29" s="11"/>
      <c r="D29" s="11"/>
      <c r="E29" s="11"/>
      <c r="F29" s="11"/>
      <c r="G29" s="11"/>
      <c r="H29" s="11"/>
      <c r="I29" s="11"/>
      <c r="J29" s="11"/>
      <c r="K29" s="11"/>
    </row>
    <row r="35" spans="1:1" x14ac:dyDescent="0.2">
      <c r="A35" s="42"/>
    </row>
    <row r="36" spans="1:1" x14ac:dyDescent="0.2">
      <c r="A36" s="43"/>
    </row>
    <row r="37" spans="1:1" x14ac:dyDescent="0.2">
      <c r="A37" s="43"/>
    </row>
    <row r="38" spans="1:1" x14ac:dyDescent="0.2">
      <c r="A38" s="42"/>
    </row>
    <row r="39" spans="1:1" x14ac:dyDescent="0.2">
      <c r="A39" s="43"/>
    </row>
    <row r="40" spans="1:1" x14ac:dyDescent="0.2">
      <c r="A40" s="43"/>
    </row>
    <row r="41" spans="1:1" x14ac:dyDescent="0.2">
      <c r="A41" s="42"/>
    </row>
    <row r="42" spans="1:1" x14ac:dyDescent="0.2">
      <c r="A42" s="43"/>
    </row>
    <row r="43" spans="1:1" x14ac:dyDescent="0.2">
      <c r="A43" s="43"/>
    </row>
    <row r="44" spans="1:1" x14ac:dyDescent="0.2">
      <c r="A44" s="42"/>
    </row>
    <row r="45" spans="1:1" x14ac:dyDescent="0.2">
      <c r="A45" s="43"/>
    </row>
    <row r="46" spans="1:1" x14ac:dyDescent="0.2">
      <c r="A46" s="43"/>
    </row>
    <row r="47" spans="1:1" x14ac:dyDescent="0.2">
      <c r="A47" s="42"/>
    </row>
    <row r="48" spans="1:1" x14ac:dyDescent="0.2">
      <c r="A48" s="43"/>
    </row>
    <row r="49" spans="1:1" x14ac:dyDescent="0.2">
      <c r="A49" s="43"/>
    </row>
    <row r="50" spans="1:1" x14ac:dyDescent="0.2">
      <c r="A50" s="42"/>
    </row>
    <row r="51" spans="1:1" x14ac:dyDescent="0.2">
      <c r="A51" s="43"/>
    </row>
    <row r="52" spans="1:1" x14ac:dyDescent="0.2">
      <c r="A52" s="43"/>
    </row>
    <row r="53" spans="1:1" x14ac:dyDescent="0.2">
      <c r="A53" s="42"/>
    </row>
    <row r="54" spans="1:1" x14ac:dyDescent="0.2">
      <c r="A54" s="43"/>
    </row>
    <row r="55" spans="1:1" x14ac:dyDescent="0.2">
      <c r="A55" s="43"/>
    </row>
    <row r="56" spans="1:1" x14ac:dyDescent="0.2">
      <c r="A56" s="42"/>
    </row>
    <row r="57" spans="1:1" x14ac:dyDescent="0.2">
      <c r="A57" s="43"/>
    </row>
    <row r="58" spans="1:1" x14ac:dyDescent="0.2">
      <c r="A58" s="43"/>
    </row>
    <row r="59" spans="1:1" x14ac:dyDescent="0.2">
      <c r="A59" s="42"/>
    </row>
    <row r="60" spans="1:1" x14ac:dyDescent="0.2">
      <c r="A60" s="43"/>
    </row>
    <row r="61" spans="1:1" x14ac:dyDescent="0.2">
      <c r="A61" s="43"/>
    </row>
    <row r="62" spans="1:1" x14ac:dyDescent="0.2">
      <c r="A62" s="42"/>
    </row>
    <row r="63" spans="1:1" x14ac:dyDescent="0.2">
      <c r="A63" s="43"/>
    </row>
    <row r="64" spans="1:1" x14ac:dyDescent="0.2">
      <c r="A64" s="43"/>
    </row>
    <row r="65" spans="1:1" x14ac:dyDescent="0.2">
      <c r="A65" s="42"/>
    </row>
    <row r="66" spans="1:1" x14ac:dyDescent="0.2">
      <c r="A66" s="43"/>
    </row>
    <row r="67" spans="1:1" x14ac:dyDescent="0.2">
      <c r="A67" s="43"/>
    </row>
    <row r="68" spans="1:1" x14ac:dyDescent="0.2">
      <c r="A68" s="42"/>
    </row>
    <row r="69" spans="1:1" x14ac:dyDescent="0.2">
      <c r="A69" s="43"/>
    </row>
    <row r="70" spans="1:1" x14ac:dyDescent="0.2">
      <c r="A70" s="43"/>
    </row>
    <row r="71" spans="1:1" x14ac:dyDescent="0.2">
      <c r="A71" s="42"/>
    </row>
    <row r="72" spans="1:1" x14ac:dyDescent="0.2">
      <c r="A72" s="43"/>
    </row>
    <row r="73" spans="1:1" x14ac:dyDescent="0.2">
      <c r="A73" s="43"/>
    </row>
    <row r="74" spans="1:1" x14ac:dyDescent="0.2">
      <c r="A74" s="42"/>
    </row>
    <row r="75" spans="1:1" x14ac:dyDescent="0.2">
      <c r="A75" s="43"/>
    </row>
    <row r="76" spans="1:1" x14ac:dyDescent="0.2">
      <c r="A76" s="43"/>
    </row>
    <row r="77" spans="1:1" x14ac:dyDescent="0.2">
      <c r="A77" s="42"/>
    </row>
    <row r="78" spans="1:1" x14ac:dyDescent="0.2">
      <c r="A78" s="43"/>
    </row>
    <row r="79" spans="1:1" x14ac:dyDescent="0.2">
      <c r="A79" s="43"/>
    </row>
    <row r="80" spans="1:1" x14ac:dyDescent="0.2">
      <c r="A80" s="42"/>
    </row>
    <row r="81" spans="1:1" x14ac:dyDescent="0.2">
      <c r="A81" s="43"/>
    </row>
    <row r="82" spans="1:1" x14ac:dyDescent="0.2">
      <c r="A82" s="43"/>
    </row>
    <row r="83" spans="1:1" x14ac:dyDescent="0.2">
      <c r="A83" s="42"/>
    </row>
    <row r="84" spans="1:1" x14ac:dyDescent="0.2">
      <c r="A84" s="43"/>
    </row>
  </sheetData>
  <mergeCells count="3">
    <mergeCell ref="B5:E5"/>
    <mergeCell ref="F5:I5"/>
    <mergeCell ref="J5:K5"/>
  </mergeCells>
  <phoneticPr fontId="0" type="noConversion"/>
  <pageMargins left="0.75" right="0.75" top="1" bottom="1" header="0.5" footer="0.5"/>
  <pageSetup scale="8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view="pageBreakPreview" zoomScale="75" workbookViewId="0">
      <selection activeCell="G25" sqref="G25"/>
    </sheetView>
  </sheetViews>
  <sheetFormatPr defaultRowHeight="12.75" x14ac:dyDescent="0.2"/>
  <cols>
    <col min="1" max="1" width="23.42578125" bestFit="1" customWidth="1"/>
    <col min="2" max="2" width="13.5703125" customWidth="1"/>
    <col min="3" max="3" width="13.28515625" customWidth="1"/>
    <col min="4" max="4" width="10" customWidth="1"/>
    <col min="5" max="5" width="13.28515625" customWidth="1"/>
    <col min="6" max="6" width="9.28515625" bestFit="1" customWidth="1"/>
    <col min="7" max="7" width="14.28515625" customWidth="1"/>
    <col min="8" max="8" width="9.28515625" bestFit="1" customWidth="1"/>
    <col min="9" max="9" width="11.5703125" bestFit="1" customWidth="1"/>
  </cols>
  <sheetData>
    <row r="2" spans="1:9" x14ac:dyDescent="0.2">
      <c r="A2" s="821" t="s">
        <v>204</v>
      </c>
      <c r="B2" s="821"/>
      <c r="C2" s="821"/>
      <c r="D2" s="821"/>
      <c r="E2" s="821"/>
      <c r="F2" s="821"/>
      <c r="G2" s="821"/>
      <c r="H2" s="821"/>
      <c r="I2" s="821"/>
    </row>
    <row r="3" spans="1:9" x14ac:dyDescent="0.2">
      <c r="A3" s="821" t="s">
        <v>205</v>
      </c>
      <c r="B3" s="821"/>
      <c r="C3" s="821"/>
      <c r="D3" s="821"/>
      <c r="E3" s="821"/>
      <c r="F3" s="821"/>
      <c r="G3" s="821"/>
      <c r="H3" s="821"/>
      <c r="I3" s="821"/>
    </row>
    <row r="4" spans="1:9" ht="39" thickBot="1" x14ac:dyDescent="0.25">
      <c r="A4" s="822" t="s">
        <v>206</v>
      </c>
      <c r="B4" s="822"/>
      <c r="C4" s="104" t="s">
        <v>57</v>
      </c>
      <c r="D4" s="105" t="s">
        <v>207</v>
      </c>
      <c r="E4" s="105" t="s">
        <v>208</v>
      </c>
      <c r="F4" s="105" t="s">
        <v>209</v>
      </c>
      <c r="G4" s="105" t="s">
        <v>210</v>
      </c>
      <c r="H4" s="105" t="s">
        <v>54</v>
      </c>
      <c r="I4" s="105" t="s">
        <v>211</v>
      </c>
    </row>
    <row r="5" spans="1:9" ht="13.5" thickTop="1" x14ac:dyDescent="0.2"/>
    <row r="6" spans="1:9" x14ac:dyDescent="0.2">
      <c r="A6" s="44" t="s">
        <v>212</v>
      </c>
      <c r="B6" s="44"/>
      <c r="G6" s="10"/>
    </row>
    <row r="7" spans="1:9" x14ac:dyDescent="0.2">
      <c r="D7" s="60"/>
      <c r="G7" s="10"/>
    </row>
    <row r="8" spans="1:9" x14ac:dyDescent="0.2">
      <c r="A8" s="63" t="s">
        <v>213</v>
      </c>
      <c r="B8">
        <v>1355084</v>
      </c>
      <c r="D8" s="60"/>
      <c r="G8" s="10"/>
    </row>
    <row r="9" spans="1:9" x14ac:dyDescent="0.2">
      <c r="A9" s="63"/>
      <c r="B9" s="63"/>
      <c r="D9" s="60"/>
      <c r="E9" s="63"/>
      <c r="G9" s="10"/>
      <c r="H9" s="106"/>
      <c r="I9" s="107"/>
    </row>
    <row r="10" spans="1:9" ht="13.5" thickBot="1" x14ac:dyDescent="0.25">
      <c r="A10" t="s">
        <v>214</v>
      </c>
      <c r="B10" s="108">
        <v>448641</v>
      </c>
      <c r="D10" s="60"/>
      <c r="G10" s="10"/>
      <c r="I10" s="55"/>
    </row>
    <row r="11" spans="1:9" x14ac:dyDescent="0.2">
      <c r="B11">
        <f>+SUM(B8:B10)</f>
        <v>1803725</v>
      </c>
      <c r="D11" s="60"/>
      <c r="G11" s="10"/>
      <c r="I11" s="55"/>
    </row>
    <row r="12" spans="1:9" x14ac:dyDescent="0.2">
      <c r="D12" s="60"/>
      <c r="G12" s="10"/>
      <c r="I12" s="55"/>
    </row>
    <row r="13" spans="1:9" ht="13.5" thickBot="1" x14ac:dyDescent="0.25">
      <c r="A13" t="s">
        <v>215</v>
      </c>
      <c r="B13" s="108">
        <v>1589042</v>
      </c>
      <c r="C13">
        <f>+B11-B13</f>
        <v>214683</v>
      </c>
      <c r="D13" s="60" t="s">
        <v>216</v>
      </c>
      <c r="E13">
        <v>0</v>
      </c>
      <c r="F13">
        <v>0</v>
      </c>
      <c r="G13" s="10"/>
      <c r="I13" s="55"/>
    </row>
    <row r="14" spans="1:9" x14ac:dyDescent="0.2">
      <c r="A14" s="60"/>
      <c r="D14" s="60"/>
      <c r="G14" s="10"/>
      <c r="I14" s="55"/>
    </row>
    <row r="15" spans="1:9" x14ac:dyDescent="0.2">
      <c r="D15" s="60"/>
      <c r="G15" s="10"/>
      <c r="I15" s="55"/>
    </row>
    <row r="16" spans="1:9" x14ac:dyDescent="0.2">
      <c r="A16" s="62" t="s">
        <v>217</v>
      </c>
      <c r="C16">
        <v>139387</v>
      </c>
      <c r="D16" s="60"/>
      <c r="E16">
        <v>13.91</v>
      </c>
      <c r="F16">
        <v>365</v>
      </c>
      <c r="G16" s="10">
        <f>+C16*E16%*F16/366</f>
        <v>19335.757023224043</v>
      </c>
      <c r="I16" s="107"/>
    </row>
    <row r="17" spans="1:10" x14ac:dyDescent="0.2">
      <c r="A17" s="62"/>
      <c r="D17" s="60"/>
      <c r="G17" s="10"/>
      <c r="I17" s="107"/>
    </row>
    <row r="18" spans="1:10" x14ac:dyDescent="0.2">
      <c r="D18" s="60"/>
      <c r="G18" s="10">
        <f>+C17*E17%*F18/365</f>
        <v>0</v>
      </c>
      <c r="H18" s="10"/>
      <c r="I18" s="107"/>
    </row>
    <row r="19" spans="1:10" ht="13.5" thickBot="1" x14ac:dyDescent="0.25">
      <c r="C19" s="109">
        <f>+SUM(C13:C17)</f>
        <v>354070</v>
      </c>
      <c r="D19" s="110"/>
      <c r="E19" s="111"/>
      <c r="F19" s="111"/>
      <c r="G19" s="112"/>
      <c r="H19" s="112">
        <f>+G16+G17</f>
        <v>19335.757023224043</v>
      </c>
      <c r="I19" s="109">
        <f>+C19-H19</f>
        <v>334734.24297677597</v>
      </c>
    </row>
    <row r="20" spans="1:10" ht="13.5" thickTop="1" x14ac:dyDescent="0.2">
      <c r="A20" s="44" t="s">
        <v>38</v>
      </c>
      <c r="B20" s="44"/>
      <c r="D20" s="60"/>
      <c r="I20" s="55"/>
    </row>
    <row r="21" spans="1:10" x14ac:dyDescent="0.2">
      <c r="A21" s="63" t="s">
        <v>218</v>
      </c>
      <c r="B21" s="63">
        <v>600000</v>
      </c>
      <c r="D21" s="60"/>
      <c r="G21" s="10"/>
      <c r="H21" s="106"/>
      <c r="I21" s="107"/>
    </row>
    <row r="22" spans="1:10" x14ac:dyDescent="0.2">
      <c r="A22" s="63"/>
      <c r="B22" s="63">
        <v>268670</v>
      </c>
      <c r="D22" s="60"/>
      <c r="G22" s="10"/>
      <c r="H22" s="106"/>
      <c r="I22" s="107"/>
    </row>
    <row r="23" spans="1:10" x14ac:dyDescent="0.2">
      <c r="A23" s="63"/>
      <c r="B23" s="63">
        <v>125472</v>
      </c>
      <c r="D23" s="60"/>
      <c r="G23" s="10"/>
      <c r="H23" s="106"/>
      <c r="I23" s="107"/>
    </row>
    <row r="24" spans="1:10" ht="13.5" thickBot="1" x14ac:dyDescent="0.25">
      <c r="A24" s="63"/>
      <c r="B24" s="108">
        <v>17667</v>
      </c>
      <c r="C24">
        <f>+SUM(B21:B24)</f>
        <v>1011809</v>
      </c>
      <c r="D24" s="60"/>
      <c r="E24">
        <v>0</v>
      </c>
      <c r="F24">
        <v>0</v>
      </c>
      <c r="G24" s="10"/>
      <c r="H24" s="106"/>
      <c r="I24" s="107"/>
    </row>
    <row r="25" spans="1:10" x14ac:dyDescent="0.2">
      <c r="A25" s="62" t="s">
        <v>217</v>
      </c>
      <c r="C25">
        <v>1659788</v>
      </c>
      <c r="D25" s="60"/>
      <c r="E25">
        <v>10</v>
      </c>
      <c r="F25">
        <v>365</v>
      </c>
      <c r="G25" s="10">
        <f>+C25*E25%*F25/366</f>
        <v>165525.30601092899</v>
      </c>
      <c r="H25" s="106"/>
      <c r="I25" s="107"/>
      <c r="J25" s="10"/>
    </row>
    <row r="26" spans="1:10" ht="13.5" thickBot="1" x14ac:dyDescent="0.25">
      <c r="A26" s="62"/>
      <c r="C26" s="109">
        <f>+SUM(C24:C25)</f>
        <v>2671597</v>
      </c>
      <c r="D26" s="110"/>
      <c r="E26" s="111"/>
      <c r="F26" s="111"/>
      <c r="G26" s="112"/>
      <c r="H26" s="112">
        <f>+SUM(G21:G25)</f>
        <v>165525.30601092899</v>
      </c>
      <c r="I26" s="109">
        <f>+C26-H26</f>
        <v>2506071.6939890711</v>
      </c>
    </row>
    <row r="27" spans="1:10" ht="13.5" thickTop="1" x14ac:dyDescent="0.2">
      <c r="A27" s="44" t="s">
        <v>219</v>
      </c>
      <c r="B27" s="44"/>
      <c r="C27" s="55"/>
      <c r="D27" s="64"/>
      <c r="I27" s="55"/>
    </row>
    <row r="28" spans="1:10" x14ac:dyDescent="0.2">
      <c r="A28" s="62" t="s">
        <v>217</v>
      </c>
      <c r="B28" s="63"/>
      <c r="C28">
        <v>11811</v>
      </c>
      <c r="D28" s="60"/>
      <c r="E28">
        <v>13.91</v>
      </c>
      <c r="F28">
        <v>365</v>
      </c>
      <c r="G28" s="10">
        <f>+C28*E28%*F28/365</f>
        <v>1642.9101000000003</v>
      </c>
      <c r="I28" s="55"/>
    </row>
    <row r="29" spans="1:10" ht="13.5" thickBot="1" x14ac:dyDescent="0.25">
      <c r="C29" s="109">
        <f>+SUM(C28:C28)</f>
        <v>11811</v>
      </c>
      <c r="D29" s="110"/>
      <c r="E29" s="111"/>
      <c r="F29" s="111"/>
      <c r="G29" s="112"/>
      <c r="H29" s="112">
        <f>+SUM(G27:G28)</f>
        <v>1642.9101000000003</v>
      </c>
      <c r="I29" s="109">
        <f>+C29-H29</f>
        <v>10168.089899999999</v>
      </c>
    </row>
    <row r="30" spans="1:10" ht="13.5" thickTop="1" x14ac:dyDescent="0.2">
      <c r="A30" s="44" t="s">
        <v>220</v>
      </c>
      <c r="D30" s="60"/>
      <c r="F30" s="55"/>
      <c r="H30" s="107"/>
    </row>
    <row r="31" spans="1:10" x14ac:dyDescent="0.2">
      <c r="A31" s="63"/>
      <c r="B31" s="63"/>
      <c r="C31" s="60">
        <v>335255</v>
      </c>
      <c r="D31" s="60"/>
      <c r="E31">
        <v>25.89</v>
      </c>
      <c r="F31">
        <v>315</v>
      </c>
      <c r="G31" s="10">
        <f>+C31*E31%*F31/365</f>
        <v>74907.448335616442</v>
      </c>
      <c r="I31" s="55"/>
    </row>
    <row r="32" spans="1:10" ht="13.5" thickBot="1" x14ac:dyDescent="0.25">
      <c r="C32" s="67">
        <f>+SUM(C30:C31)</f>
        <v>335255</v>
      </c>
      <c r="D32" s="71"/>
      <c r="E32" s="67"/>
      <c r="F32" s="67"/>
      <c r="G32" s="109"/>
      <c r="H32" s="109">
        <f>+SUM(G30:G31)</f>
        <v>74907.448335616442</v>
      </c>
      <c r="I32" s="109">
        <f>+C32-H32</f>
        <v>260347.55166438356</v>
      </c>
    </row>
    <row r="33" spans="2:8" ht="13.5" thickTop="1" x14ac:dyDescent="0.2"/>
    <row r="34" spans="2:8" x14ac:dyDescent="0.2">
      <c r="B34" s="50" t="s">
        <v>221</v>
      </c>
      <c r="C34" s="50"/>
      <c r="D34" s="50"/>
      <c r="E34" s="50"/>
      <c r="F34" s="50"/>
      <c r="G34" s="50"/>
      <c r="H34" s="113">
        <f>+H32+H29+H26+H19</f>
        <v>261411.42146976947</v>
      </c>
    </row>
  </sheetData>
  <mergeCells count="3">
    <mergeCell ref="A2:I2"/>
    <mergeCell ref="A3:I3"/>
    <mergeCell ref="A4:B4"/>
  </mergeCells>
  <phoneticPr fontId="0" type="noConversion"/>
  <pageMargins left="0.75" right="0.75" top="1" bottom="1" header="0.5" footer="0.5"/>
  <pageSetup paperSize="9" scale="9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6"/>
  <sheetViews>
    <sheetView topLeftCell="A16" workbookViewId="0">
      <selection activeCell="L11" sqref="L11"/>
    </sheetView>
  </sheetViews>
  <sheetFormatPr defaultRowHeight="12.75" x14ac:dyDescent="0.2"/>
  <cols>
    <col min="1" max="1" width="25.42578125" customWidth="1"/>
    <col min="2" max="2" width="13.28515625" customWidth="1"/>
    <col min="3" max="3" width="14.7109375" customWidth="1"/>
    <col min="4" max="4" width="14.140625" customWidth="1"/>
    <col min="5" max="5" width="10.85546875" customWidth="1"/>
    <col min="6" max="6" width="11.5703125" customWidth="1"/>
    <col min="7" max="7" width="10.7109375" customWidth="1"/>
    <col min="9" max="9" width="11" customWidth="1"/>
    <col min="10" max="10" width="15.42578125" customWidth="1"/>
    <col min="11" max="11" width="10.5703125" customWidth="1"/>
    <col min="13" max="13" width="13.42578125" bestFit="1" customWidth="1"/>
    <col min="14" max="14" width="10.5703125" bestFit="1" customWidth="1"/>
    <col min="15" max="15" width="11.28515625" bestFit="1" customWidth="1"/>
    <col min="16" max="16" width="12" bestFit="1" customWidth="1"/>
  </cols>
  <sheetData>
    <row r="2" spans="1:16" x14ac:dyDescent="0.2">
      <c r="B2" s="44" t="s">
        <v>49</v>
      </c>
      <c r="L2" t="s">
        <v>407</v>
      </c>
    </row>
    <row r="4" spans="1:16" x14ac:dyDescent="0.2">
      <c r="A4" s="45" t="s">
        <v>50</v>
      </c>
      <c r="B4" s="45" t="s">
        <v>51</v>
      </c>
      <c r="C4" s="45" t="s">
        <v>52</v>
      </c>
      <c r="D4" s="45" t="s">
        <v>53</v>
      </c>
      <c r="E4" s="45" t="s">
        <v>54</v>
      </c>
      <c r="F4" s="45" t="s">
        <v>53</v>
      </c>
      <c r="G4" s="45" t="s">
        <v>55</v>
      </c>
      <c r="H4" s="46" t="s">
        <v>56</v>
      </c>
      <c r="I4" s="46" t="s">
        <v>57</v>
      </c>
    </row>
    <row r="5" spans="1:16" x14ac:dyDescent="0.2">
      <c r="A5" s="47"/>
      <c r="B5" s="47" t="s">
        <v>58</v>
      </c>
      <c r="C5" s="47"/>
      <c r="D5" s="47" t="s">
        <v>59</v>
      </c>
      <c r="E5" s="47"/>
      <c r="F5" s="47"/>
      <c r="G5" s="47" t="s">
        <v>60</v>
      </c>
      <c r="H5" s="48" t="s">
        <v>61</v>
      </c>
      <c r="I5" s="49"/>
      <c r="M5" t="s">
        <v>409</v>
      </c>
      <c r="N5" t="s">
        <v>411</v>
      </c>
      <c r="O5" t="s">
        <v>412</v>
      </c>
      <c r="P5" t="s">
        <v>413</v>
      </c>
    </row>
    <row r="6" spans="1:16" x14ac:dyDescent="0.2">
      <c r="L6" t="s">
        <v>408</v>
      </c>
      <c r="M6">
        <f>[2]stocks!$B$47</f>
        <v>624</v>
      </c>
      <c r="N6">
        <v>28376</v>
      </c>
      <c r="O6">
        <f>M6+N6-P6</f>
        <v>28427</v>
      </c>
      <c r="P6">
        <f>573</f>
        <v>573</v>
      </c>
    </row>
    <row r="7" spans="1:16" x14ac:dyDescent="0.2">
      <c r="A7" t="s">
        <v>62</v>
      </c>
      <c r="B7">
        <v>0.36</v>
      </c>
      <c r="C7">
        <v>41.98</v>
      </c>
      <c r="D7">
        <v>0.17</v>
      </c>
      <c r="E7">
        <f>+B7+C7+D7</f>
        <v>42.51</v>
      </c>
      <c r="F7">
        <v>42.09</v>
      </c>
      <c r="G7">
        <v>0.42</v>
      </c>
      <c r="H7">
        <v>80000</v>
      </c>
      <c r="I7">
        <f>+G7*H7</f>
        <v>33600</v>
      </c>
    </row>
    <row r="8" spans="1:16" x14ac:dyDescent="0.2">
      <c r="L8" t="s">
        <v>410</v>
      </c>
      <c r="M8">
        <f>[2]stocks!$B$49</f>
        <v>3000</v>
      </c>
      <c r="N8">
        <v>17000</v>
      </c>
      <c r="O8">
        <f>M8+N8-P8</f>
        <v>17500</v>
      </c>
      <c r="P8">
        <v>2500</v>
      </c>
    </row>
    <row r="9" spans="1:16" x14ac:dyDescent="0.2">
      <c r="A9" t="s">
        <v>63</v>
      </c>
      <c r="B9">
        <v>0.21</v>
      </c>
      <c r="C9">
        <v>0</v>
      </c>
      <c r="D9">
        <v>0</v>
      </c>
      <c r="E9">
        <f>+B9+C9+D9</f>
        <v>0.21</v>
      </c>
      <c r="F9">
        <v>0</v>
      </c>
      <c r="G9">
        <v>0.21</v>
      </c>
      <c r="H9">
        <v>25000</v>
      </c>
      <c r="I9">
        <f>+G9*H9</f>
        <v>5250</v>
      </c>
    </row>
    <row r="11" spans="1:16" x14ac:dyDescent="0.2">
      <c r="A11" t="s">
        <v>64</v>
      </c>
      <c r="B11">
        <v>0.28999999999999998</v>
      </c>
      <c r="C11">
        <v>1.83</v>
      </c>
      <c r="D11">
        <v>0.14000000000000001</v>
      </c>
      <c r="E11">
        <f>+B11+C11+D11</f>
        <v>2.2600000000000002</v>
      </c>
      <c r="F11">
        <v>1.86</v>
      </c>
      <c r="G11">
        <v>0.4</v>
      </c>
      <c r="H11">
        <v>9000</v>
      </c>
      <c r="I11">
        <f>+G11*H11</f>
        <v>3600</v>
      </c>
    </row>
    <row r="13" spans="1:16" x14ac:dyDescent="0.2">
      <c r="A13" t="s">
        <v>65</v>
      </c>
      <c r="B13">
        <v>0.19</v>
      </c>
      <c r="C13">
        <v>17.850000000000001</v>
      </c>
      <c r="D13">
        <v>0.09</v>
      </c>
      <c r="E13">
        <f>+B13+C13+D13</f>
        <v>18.130000000000003</v>
      </c>
      <c r="F13">
        <v>17.95</v>
      </c>
      <c r="G13">
        <v>0.18</v>
      </c>
      <c r="H13">
        <v>15000</v>
      </c>
      <c r="I13">
        <f>+G13*H13</f>
        <v>2700</v>
      </c>
    </row>
    <row r="15" spans="1:16" x14ac:dyDescent="0.2">
      <c r="B15" s="50">
        <f t="shared" ref="B15:G15" si="0">SUM(B7:B13)</f>
        <v>1.0499999999999998</v>
      </c>
      <c r="C15" s="50">
        <f t="shared" si="0"/>
        <v>61.66</v>
      </c>
      <c r="D15" s="50">
        <f t="shared" si="0"/>
        <v>0.4</v>
      </c>
      <c r="E15" s="50">
        <f t="shared" si="0"/>
        <v>63.11</v>
      </c>
      <c r="F15" s="50">
        <f t="shared" si="0"/>
        <v>61.900000000000006</v>
      </c>
      <c r="G15" s="50">
        <f t="shared" si="0"/>
        <v>1.21</v>
      </c>
      <c r="H15" s="50" t="s">
        <v>0</v>
      </c>
      <c r="I15" s="50">
        <f>SUM(I7:I13)</f>
        <v>45150</v>
      </c>
      <c r="O15">
        <f>1245743/39.94</f>
        <v>31190.36054081122</v>
      </c>
    </row>
    <row r="17" spans="1:14" x14ac:dyDescent="0.2">
      <c r="D17" s="10"/>
    </row>
    <row r="18" spans="1:14" x14ac:dyDescent="0.2">
      <c r="N18" s="53">
        <f>E24</f>
        <v>1122651</v>
      </c>
    </row>
    <row r="19" spans="1:14" x14ac:dyDescent="0.2">
      <c r="B19" s="44" t="s">
        <v>66</v>
      </c>
      <c r="N19">
        <f>N8*0.94</f>
        <v>15980</v>
      </c>
    </row>
    <row r="20" spans="1:14" x14ac:dyDescent="0.2">
      <c r="N20" s="53">
        <f>N18-N19</f>
        <v>1106671</v>
      </c>
    </row>
    <row r="21" spans="1:14" x14ac:dyDescent="0.2">
      <c r="A21" s="45" t="s">
        <v>67</v>
      </c>
      <c r="B21" s="45" t="s">
        <v>51</v>
      </c>
      <c r="C21" s="51" t="s">
        <v>57</v>
      </c>
      <c r="D21" s="45" t="s">
        <v>68</v>
      </c>
      <c r="E21" s="51" t="s">
        <v>57</v>
      </c>
      <c r="F21" s="45" t="s">
        <v>54</v>
      </c>
      <c r="G21" s="51" t="s">
        <v>57</v>
      </c>
      <c r="H21" s="46" t="s">
        <v>55</v>
      </c>
      <c r="I21" s="51" t="s">
        <v>57</v>
      </c>
      <c r="J21" s="45" t="s">
        <v>69</v>
      </c>
      <c r="K21" s="51" t="s">
        <v>57</v>
      </c>
    </row>
    <row r="22" spans="1:14" x14ac:dyDescent="0.2">
      <c r="A22" s="47"/>
      <c r="B22" s="47" t="s">
        <v>58</v>
      </c>
      <c r="C22" s="47"/>
      <c r="D22" s="47" t="s">
        <v>0</v>
      </c>
      <c r="E22" s="47"/>
      <c r="F22" s="47"/>
      <c r="G22" s="47" t="s">
        <v>0</v>
      </c>
      <c r="H22" s="48" t="s">
        <v>60</v>
      </c>
      <c r="I22" s="49"/>
      <c r="J22" s="52"/>
      <c r="K22" s="52"/>
      <c r="N22">
        <f>N20/39</f>
        <v>28376.179487179488</v>
      </c>
    </row>
    <row r="24" spans="1:14" x14ac:dyDescent="0.2">
      <c r="A24" t="s">
        <v>70</v>
      </c>
      <c r="C24" s="53">
        <v>147789</v>
      </c>
      <c r="D24" s="53"/>
      <c r="E24" s="53">
        <v>1122651</v>
      </c>
      <c r="F24" s="53"/>
      <c r="G24" s="53">
        <f>+C24+E24</f>
        <v>1270440</v>
      </c>
      <c r="H24" s="53"/>
      <c r="I24" s="53">
        <v>24697</v>
      </c>
      <c r="K24" s="53">
        <f>+G24-I24</f>
        <v>1245743</v>
      </c>
    </row>
    <row r="25" spans="1:14" x14ac:dyDescent="0.2">
      <c r="C25" s="53"/>
      <c r="D25" s="53"/>
      <c r="E25" s="53"/>
      <c r="F25" s="53"/>
      <c r="G25" s="53"/>
      <c r="H25" s="53"/>
      <c r="I25" s="53"/>
      <c r="K25" s="53"/>
    </row>
    <row r="26" spans="1:14" x14ac:dyDescent="0.2">
      <c r="A26" t="s">
        <v>71</v>
      </c>
      <c r="C26" s="53">
        <v>27156</v>
      </c>
      <c r="D26" s="53"/>
      <c r="E26" s="53">
        <f>1332313+415.6</f>
        <v>1332728.6000000001</v>
      </c>
      <c r="F26" s="53"/>
      <c r="G26" s="53">
        <f>+C26+E26</f>
        <v>1359884.6</v>
      </c>
      <c r="H26" s="53"/>
      <c r="I26" s="53">
        <v>101046</v>
      </c>
      <c r="K26" s="53">
        <f>+G26-I26</f>
        <v>1258838.6000000001</v>
      </c>
    </row>
    <row r="27" spans="1:14" x14ac:dyDescent="0.2">
      <c r="A27" t="s">
        <v>72</v>
      </c>
      <c r="C27" s="53"/>
      <c r="D27" s="53"/>
      <c r="E27" s="53"/>
      <c r="F27" s="53"/>
      <c r="G27" s="53"/>
      <c r="H27" s="53"/>
      <c r="I27" s="53"/>
      <c r="J27" s="53"/>
      <c r="K27" s="53"/>
    </row>
    <row r="28" spans="1:14" x14ac:dyDescent="0.2">
      <c r="C28" s="53"/>
      <c r="D28" s="53"/>
      <c r="E28" s="53"/>
      <c r="F28" s="53"/>
      <c r="G28" s="53"/>
      <c r="H28" s="53"/>
      <c r="I28" s="53"/>
      <c r="J28" s="53"/>
      <c r="K28" s="53"/>
    </row>
    <row r="29" spans="1:14" x14ac:dyDescent="0.2">
      <c r="C29" s="54">
        <f>SUM(C24:C26)</f>
        <v>174945</v>
      </c>
      <c r="D29" s="53"/>
      <c r="E29" s="54">
        <f>SUM(E24:E26)</f>
        <v>2455379.6</v>
      </c>
      <c r="F29" s="53"/>
      <c r="G29" s="54">
        <f>SUM(G24:G26)</f>
        <v>2630324.6</v>
      </c>
      <c r="H29" s="53"/>
      <c r="I29" s="54">
        <f>SUM(I24:I26)</f>
        <v>125743</v>
      </c>
      <c r="J29" s="53"/>
      <c r="K29" s="54">
        <f>SUM(K24:K26)</f>
        <v>2504581.6</v>
      </c>
    </row>
    <row r="30" spans="1:14" x14ac:dyDescent="0.2">
      <c r="C30" s="53"/>
      <c r="D30" s="53"/>
      <c r="E30" s="53"/>
      <c r="F30" s="53"/>
      <c r="G30" s="53"/>
      <c r="H30" s="53"/>
      <c r="I30" s="53"/>
      <c r="J30" s="53"/>
      <c r="K30" s="53"/>
    </row>
    <row r="31" spans="1:14" x14ac:dyDescent="0.2">
      <c r="B31" s="55" t="s">
        <v>73</v>
      </c>
      <c r="C31" s="53"/>
      <c r="D31" s="53"/>
      <c r="E31" s="53"/>
      <c r="F31" s="53"/>
      <c r="G31" s="53"/>
      <c r="H31" s="53"/>
      <c r="I31" s="53"/>
      <c r="J31" s="53"/>
      <c r="K31" s="53"/>
    </row>
    <row r="32" spans="1:14" x14ac:dyDescent="0.2">
      <c r="C32" s="53"/>
      <c r="D32" s="53"/>
      <c r="E32" s="53"/>
      <c r="F32" s="53"/>
      <c r="G32" s="53"/>
      <c r="H32" s="53"/>
      <c r="I32" s="53"/>
      <c r="J32" s="53"/>
      <c r="K32" s="53"/>
    </row>
    <row r="33" spans="1:11" x14ac:dyDescent="0.2">
      <c r="A33" t="s">
        <v>0</v>
      </c>
      <c r="C33" s="53"/>
      <c r="D33" s="53"/>
      <c r="E33" s="53"/>
      <c r="F33" s="53"/>
      <c r="G33" s="53"/>
      <c r="H33" s="53"/>
      <c r="I33" s="53"/>
      <c r="J33" s="53"/>
      <c r="K33" s="53"/>
    </row>
    <row r="34" spans="1:11" x14ac:dyDescent="0.2">
      <c r="A34" s="44" t="s">
        <v>74</v>
      </c>
      <c r="C34" s="53"/>
      <c r="D34" s="53"/>
      <c r="E34" s="53"/>
      <c r="F34" s="53"/>
      <c r="G34" s="53"/>
      <c r="H34" s="53"/>
      <c r="I34" s="53"/>
      <c r="J34" s="53"/>
      <c r="K34" s="53"/>
    </row>
    <row r="35" spans="1:11" x14ac:dyDescent="0.2">
      <c r="B35" s="50" t="s">
        <v>75</v>
      </c>
      <c r="C35" s="56" t="s">
        <v>76</v>
      </c>
      <c r="D35" s="56" t="s">
        <v>57</v>
      </c>
      <c r="E35" s="56" t="s">
        <v>54</v>
      </c>
      <c r="F35" s="53"/>
      <c r="G35" s="53"/>
      <c r="H35" s="53"/>
      <c r="I35" s="53"/>
      <c r="J35" s="53"/>
      <c r="K35" s="53"/>
    </row>
    <row r="36" spans="1:11" x14ac:dyDescent="0.2">
      <c r="B36" s="55"/>
      <c r="C36" s="57"/>
      <c r="D36" s="57"/>
      <c r="E36" s="57"/>
      <c r="F36" s="53"/>
      <c r="G36" s="53"/>
      <c r="H36" s="53"/>
      <c r="I36" s="53"/>
      <c r="J36" s="53"/>
      <c r="K36" s="53"/>
    </row>
    <row r="37" spans="1:11" x14ac:dyDescent="0.2">
      <c r="A37" t="s">
        <v>77</v>
      </c>
      <c r="B37">
        <v>9432</v>
      </c>
      <c r="C37" s="53">
        <v>5.2</v>
      </c>
      <c r="D37" s="53">
        <f>+B37*C37</f>
        <v>49046.400000000001</v>
      </c>
      <c r="E37" s="53"/>
      <c r="F37" s="53"/>
      <c r="G37" s="53"/>
      <c r="H37" s="53"/>
      <c r="I37" s="53"/>
      <c r="J37" s="53"/>
      <c r="K37" s="53"/>
    </row>
    <row r="38" spans="1:11" x14ac:dyDescent="0.2">
      <c r="C38" s="53"/>
      <c r="D38" s="53"/>
      <c r="E38" s="53"/>
      <c r="F38" s="53"/>
      <c r="G38" s="53"/>
      <c r="H38" s="53"/>
      <c r="I38" s="53"/>
      <c r="J38" s="53"/>
      <c r="K38" s="53"/>
    </row>
    <row r="39" spans="1:11" x14ac:dyDescent="0.2">
      <c r="A39" t="s">
        <v>78</v>
      </c>
      <c r="B39">
        <v>2600</v>
      </c>
      <c r="C39" s="53">
        <v>20</v>
      </c>
      <c r="D39" s="58">
        <f>+B39*C39</f>
        <v>52000</v>
      </c>
      <c r="E39" s="10">
        <f>+D39+D37</f>
        <v>101046.39999999999</v>
      </c>
      <c r="F39" s="53"/>
      <c r="G39" s="53"/>
      <c r="H39" s="53"/>
      <c r="I39" s="53"/>
      <c r="J39" s="53"/>
      <c r="K39" s="53"/>
    </row>
    <row r="40" spans="1:11" x14ac:dyDescent="0.2">
      <c r="C40" s="53"/>
      <c r="D40" s="53"/>
      <c r="E40" s="53"/>
      <c r="F40" s="53"/>
      <c r="G40" s="53"/>
      <c r="H40" s="53"/>
      <c r="I40" s="53"/>
      <c r="J40" s="53"/>
      <c r="K40" s="53"/>
    </row>
    <row r="41" spans="1:11" x14ac:dyDescent="0.2">
      <c r="A41" s="44" t="s">
        <v>70</v>
      </c>
      <c r="C41" s="53"/>
      <c r="D41" s="53"/>
      <c r="E41" s="53"/>
      <c r="F41" s="53"/>
      <c r="G41" s="53"/>
      <c r="H41" s="53"/>
      <c r="I41" s="53"/>
      <c r="J41" s="53"/>
      <c r="K41" s="53"/>
    </row>
    <row r="42" spans="1:11" x14ac:dyDescent="0.2">
      <c r="C42" s="53"/>
      <c r="D42" s="53"/>
      <c r="E42" s="53"/>
      <c r="F42" s="53"/>
      <c r="G42" s="53"/>
      <c r="H42" s="53"/>
      <c r="I42" s="53"/>
      <c r="J42" s="53"/>
      <c r="K42" s="53"/>
    </row>
    <row r="43" spans="1:11" x14ac:dyDescent="0.2">
      <c r="A43" t="s">
        <v>79</v>
      </c>
      <c r="B43">
        <v>573</v>
      </c>
      <c r="C43" s="53">
        <v>39</v>
      </c>
      <c r="D43" s="53">
        <f>+B43*C43</f>
        <v>22347</v>
      </c>
      <c r="E43" s="53"/>
      <c r="F43" s="53"/>
      <c r="G43" s="53"/>
      <c r="H43" s="53"/>
      <c r="I43" s="53"/>
      <c r="J43" s="53"/>
      <c r="K43" s="53"/>
    </row>
    <row r="44" spans="1:11" x14ac:dyDescent="0.2">
      <c r="C44" s="53"/>
      <c r="D44" s="53"/>
      <c r="E44" s="53"/>
      <c r="F44" s="53"/>
      <c r="G44" s="53"/>
      <c r="H44" s="53"/>
      <c r="I44" s="53"/>
      <c r="J44" s="53"/>
      <c r="K44" s="53"/>
    </row>
    <row r="45" spans="1:11" x14ac:dyDescent="0.2">
      <c r="A45" t="s">
        <v>80</v>
      </c>
      <c r="B45">
        <v>2500</v>
      </c>
      <c r="C45">
        <v>0.94</v>
      </c>
      <c r="D45" s="58">
        <f>+B45*C45</f>
        <v>2350</v>
      </c>
      <c r="E45" s="10">
        <f>+D45+D43</f>
        <v>24697</v>
      </c>
    </row>
    <row r="47" spans="1:11" x14ac:dyDescent="0.2">
      <c r="A47" s="44" t="s">
        <v>81</v>
      </c>
    </row>
    <row r="49" spans="1:5" x14ac:dyDescent="0.2">
      <c r="A49" t="s">
        <v>62</v>
      </c>
      <c r="B49">
        <v>0.42</v>
      </c>
      <c r="C49">
        <v>80000</v>
      </c>
      <c r="D49">
        <f>+B49*C49</f>
        <v>33600</v>
      </c>
    </row>
    <row r="51" spans="1:5" x14ac:dyDescent="0.2">
      <c r="A51" t="s">
        <v>63</v>
      </c>
      <c r="B51">
        <v>0.21</v>
      </c>
      <c r="C51">
        <v>25000</v>
      </c>
      <c r="D51">
        <f>+B51*C51</f>
        <v>5250</v>
      </c>
    </row>
    <row r="53" spans="1:5" x14ac:dyDescent="0.2">
      <c r="A53" t="s">
        <v>82</v>
      </c>
      <c r="B53">
        <v>0.4</v>
      </c>
      <c r="C53">
        <v>9000</v>
      </c>
      <c r="D53">
        <f>+B53*C53</f>
        <v>3600</v>
      </c>
    </row>
    <row r="55" spans="1:5" x14ac:dyDescent="0.2">
      <c r="A55" t="s">
        <v>83</v>
      </c>
      <c r="B55">
        <v>0.18</v>
      </c>
      <c r="C55">
        <v>15000</v>
      </c>
      <c r="D55" s="52">
        <f>+B55*C55</f>
        <v>2700</v>
      </c>
      <c r="E55" s="52">
        <f>SUM(D49:D55)</f>
        <v>45150</v>
      </c>
    </row>
    <row r="56" spans="1:5" x14ac:dyDescent="0.2">
      <c r="E56" s="59">
        <f>SUM(E39:E55)</f>
        <v>170893.4</v>
      </c>
    </row>
  </sheetData>
  <phoneticPr fontId="0" type="noConversion"/>
  <pageMargins left="0.75" right="0.75" top="1" bottom="1" header="0.5" footer="0.5"/>
  <pageSetup paperSize="9" scale="90" orientation="landscape" r:id="rId1"/>
  <headerFooter alignWithMargins="0"/>
  <rowBreaks count="1" manualBreakCount="1">
    <brk id="3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25" workbookViewId="0">
      <selection activeCell="B79" sqref="B79:C79"/>
    </sheetView>
  </sheetViews>
  <sheetFormatPr defaultRowHeight="12.75" x14ac:dyDescent="0.2"/>
  <cols>
    <col min="1" max="1" width="2.7109375" customWidth="1"/>
    <col min="2" max="2" width="27.7109375" customWidth="1"/>
    <col min="3" max="3" width="13.140625" bestFit="1" customWidth="1"/>
    <col min="4" max="4" width="13.7109375" customWidth="1"/>
    <col min="5" max="5" width="11.42578125" customWidth="1"/>
    <col min="6" max="6" width="16.7109375" bestFit="1" customWidth="1"/>
    <col min="8" max="8" width="10.5703125" customWidth="1"/>
    <col min="10" max="10" width="5.5703125" customWidth="1"/>
    <col min="15" max="15" width="8.42578125" customWidth="1"/>
    <col min="16" max="16" width="9.5703125" bestFit="1" customWidth="1"/>
  </cols>
  <sheetData>
    <row r="1" spans="1:6" x14ac:dyDescent="0.2">
      <c r="A1">
        <v>3</v>
      </c>
      <c r="B1" t="s">
        <v>84</v>
      </c>
      <c r="C1" t="s">
        <v>85</v>
      </c>
      <c r="D1" s="60" t="s">
        <v>86</v>
      </c>
      <c r="E1" s="824"/>
      <c r="F1" s="824"/>
    </row>
    <row r="2" spans="1:6" x14ac:dyDescent="0.2">
      <c r="C2" s="61"/>
      <c r="D2" s="61"/>
      <c r="E2" s="61"/>
      <c r="F2" s="61"/>
    </row>
    <row r="3" spans="1:6" x14ac:dyDescent="0.2">
      <c r="B3" t="s">
        <v>87</v>
      </c>
      <c r="C3" s="62">
        <f>16836</f>
        <v>16836</v>
      </c>
      <c r="D3" s="60">
        <v>16530</v>
      </c>
      <c r="E3" s="62"/>
    </row>
    <row r="5" spans="1:6" x14ac:dyDescent="0.2">
      <c r="A5">
        <v>4</v>
      </c>
      <c r="B5" t="s">
        <v>88</v>
      </c>
    </row>
    <row r="6" spans="1:6" x14ac:dyDescent="0.2">
      <c r="B6" t="s">
        <v>89</v>
      </c>
    </row>
    <row r="8" spans="1:6" x14ac:dyDescent="0.2">
      <c r="B8" t="s">
        <v>90</v>
      </c>
      <c r="C8" s="829" t="s">
        <v>91</v>
      </c>
      <c r="D8" s="829"/>
      <c r="E8" s="829" t="s">
        <v>91</v>
      </c>
      <c r="F8" s="829"/>
    </row>
    <row r="10" spans="1:6" x14ac:dyDescent="0.2">
      <c r="A10">
        <v>5</v>
      </c>
      <c r="B10" s="55" t="s">
        <v>92</v>
      </c>
      <c r="C10" s="44" t="s">
        <v>93</v>
      </c>
      <c r="D10" s="44" t="s">
        <v>94</v>
      </c>
      <c r="E10" s="44" t="s">
        <v>95</v>
      </c>
    </row>
    <row r="11" spans="1:6" x14ac:dyDescent="0.2">
      <c r="B11" t="s">
        <v>91</v>
      </c>
      <c r="C11" s="63" t="s">
        <v>96</v>
      </c>
      <c r="D11" s="63" t="s">
        <v>97</v>
      </c>
      <c r="E11" s="63" t="s">
        <v>98</v>
      </c>
    </row>
    <row r="13" spans="1:6" x14ac:dyDescent="0.2">
      <c r="A13">
        <v>6</v>
      </c>
      <c r="B13" s="55" t="s">
        <v>99</v>
      </c>
      <c r="C13" s="44" t="s">
        <v>85</v>
      </c>
      <c r="D13" s="3" t="s">
        <v>86</v>
      </c>
    </row>
    <row r="15" spans="1:6" x14ac:dyDescent="0.2">
      <c r="B15" t="s">
        <v>100</v>
      </c>
      <c r="C15" s="62">
        <v>41.98</v>
      </c>
      <c r="D15">
        <v>63.33</v>
      </c>
    </row>
    <row r="16" spans="1:6" x14ac:dyDescent="0.2">
      <c r="B16" t="s">
        <v>101</v>
      </c>
      <c r="C16" s="65">
        <v>0</v>
      </c>
      <c r="D16">
        <v>3.41</v>
      </c>
    </row>
    <row r="17" spans="2:6" x14ac:dyDescent="0.2">
      <c r="B17" t="s">
        <v>102</v>
      </c>
      <c r="C17" s="65">
        <v>1.83</v>
      </c>
      <c r="D17" s="53">
        <v>0</v>
      </c>
    </row>
    <row r="18" spans="2:6" x14ac:dyDescent="0.2">
      <c r="B18" t="s">
        <v>16</v>
      </c>
      <c r="C18" s="65">
        <v>17.850000000000001</v>
      </c>
      <c r="D18">
        <v>17.62</v>
      </c>
    </row>
    <row r="19" spans="2:6" ht="13.5" thickBot="1" x14ac:dyDescent="0.25">
      <c r="C19" s="66">
        <f>+SUM(C15:C18)</f>
        <v>61.66</v>
      </c>
      <c r="D19" s="67">
        <f>+SUM(D15:D18)</f>
        <v>84.36</v>
      </c>
    </row>
    <row r="20" spans="2:6" ht="13.5" thickTop="1" x14ac:dyDescent="0.2">
      <c r="C20" s="68"/>
    </row>
    <row r="21" spans="2:6" x14ac:dyDescent="0.2">
      <c r="C21" s="44" t="s">
        <v>85</v>
      </c>
      <c r="D21" s="44"/>
      <c r="E21" s="824" t="s">
        <v>86</v>
      </c>
      <c r="F21" s="824"/>
    </row>
    <row r="22" spans="2:6" x14ac:dyDescent="0.2">
      <c r="B22" s="55" t="s">
        <v>103</v>
      </c>
      <c r="C22" s="69" t="s">
        <v>104</v>
      </c>
      <c r="D22" s="64" t="s">
        <v>105</v>
      </c>
      <c r="E22" s="69" t="s">
        <v>104</v>
      </c>
      <c r="F22" s="64" t="s">
        <v>105</v>
      </c>
    </row>
    <row r="23" spans="2:6" x14ac:dyDescent="0.2">
      <c r="B23" t="s">
        <v>100</v>
      </c>
      <c r="C23" s="62">
        <v>0.36</v>
      </c>
      <c r="D23" s="53">
        <v>28800</v>
      </c>
      <c r="E23" s="60">
        <v>1.04</v>
      </c>
      <c r="F23" s="53">
        <v>12000</v>
      </c>
    </row>
    <row r="24" spans="2:6" x14ac:dyDescent="0.2">
      <c r="B24" t="s">
        <v>101</v>
      </c>
      <c r="C24" s="62">
        <v>0.21</v>
      </c>
      <c r="D24" s="53">
        <v>5250</v>
      </c>
      <c r="E24" s="60">
        <v>0.72</v>
      </c>
      <c r="F24" s="53">
        <v>4250</v>
      </c>
    </row>
    <row r="25" spans="2:6" x14ac:dyDescent="0.2">
      <c r="B25" t="s">
        <v>102</v>
      </c>
      <c r="C25" s="62">
        <v>0.28999999999999998</v>
      </c>
      <c r="D25">
        <v>2610</v>
      </c>
      <c r="E25" s="60">
        <v>0.28999999999999998</v>
      </c>
      <c r="F25">
        <v>2610</v>
      </c>
    </row>
    <row r="26" spans="2:6" x14ac:dyDescent="0.2">
      <c r="B26" t="s">
        <v>16</v>
      </c>
      <c r="C26" s="62">
        <v>0.19</v>
      </c>
      <c r="D26" s="53">
        <v>2850</v>
      </c>
      <c r="E26" s="60">
        <v>0</v>
      </c>
      <c r="F26" s="53">
        <v>1950</v>
      </c>
    </row>
    <row r="27" spans="2:6" ht="13.5" thickBot="1" x14ac:dyDescent="0.25">
      <c r="C27" s="66">
        <f ca="1">+SUM(C23:C27)</f>
        <v>1.0499999999999998</v>
      </c>
      <c r="D27" s="70">
        <f ca="1">+SUM(D23:D27)</f>
        <v>39510</v>
      </c>
      <c r="E27" s="71">
        <f ca="1">+SUM(E23:E27)</f>
        <v>2.0499999999999998</v>
      </c>
      <c r="F27" s="70">
        <f ca="1">+SUM(F23:F27)</f>
        <v>20810</v>
      </c>
    </row>
    <row r="28" spans="2:6" ht="13.5" thickTop="1" x14ac:dyDescent="0.2"/>
    <row r="29" spans="2:6" x14ac:dyDescent="0.2">
      <c r="B29" s="55" t="s">
        <v>106</v>
      </c>
      <c r="C29" s="824" t="s">
        <v>85</v>
      </c>
      <c r="D29" s="824"/>
      <c r="E29" s="824" t="s">
        <v>86</v>
      </c>
      <c r="F29" s="824"/>
    </row>
    <row r="30" spans="2:6" x14ac:dyDescent="0.2">
      <c r="B30" s="55"/>
      <c r="C30" s="64" t="s">
        <v>104</v>
      </c>
      <c r="D30" s="64" t="s">
        <v>105</v>
      </c>
      <c r="E30" s="64" t="s">
        <v>104</v>
      </c>
      <c r="F30" s="64" t="s">
        <v>105</v>
      </c>
    </row>
    <row r="31" spans="2:6" x14ac:dyDescent="0.2">
      <c r="B31" t="s">
        <v>100</v>
      </c>
      <c r="C31">
        <v>0.42</v>
      </c>
      <c r="D31">
        <v>33600</v>
      </c>
      <c r="E31">
        <v>0.36</v>
      </c>
      <c r="F31">
        <v>28800</v>
      </c>
    </row>
    <row r="32" spans="2:6" x14ac:dyDescent="0.2">
      <c r="B32" t="s">
        <v>101</v>
      </c>
      <c r="C32">
        <v>0.21</v>
      </c>
      <c r="D32">
        <v>5250</v>
      </c>
      <c r="E32">
        <v>0.21</v>
      </c>
      <c r="F32">
        <v>5250</v>
      </c>
    </row>
    <row r="33" spans="1:6" x14ac:dyDescent="0.2">
      <c r="B33" t="s">
        <v>102</v>
      </c>
      <c r="C33">
        <v>0.4</v>
      </c>
      <c r="D33">
        <v>3600</v>
      </c>
      <c r="E33">
        <v>0.28999999999999998</v>
      </c>
      <c r="F33">
        <v>2610</v>
      </c>
    </row>
    <row r="34" spans="1:6" x14ac:dyDescent="0.2">
      <c r="B34" t="s">
        <v>16</v>
      </c>
      <c r="C34">
        <v>0.18</v>
      </c>
      <c r="D34">
        <v>2700</v>
      </c>
      <c r="E34">
        <v>0.19</v>
      </c>
      <c r="F34">
        <v>2850</v>
      </c>
    </row>
    <row r="35" spans="1:6" ht="13.5" thickBot="1" x14ac:dyDescent="0.25">
      <c r="C35" s="67">
        <f ca="1">+SUM(C31:C35)</f>
        <v>1.21</v>
      </c>
      <c r="D35" s="67">
        <f ca="1">+SUM(D31:D35)</f>
        <v>45150</v>
      </c>
      <c r="E35" s="67">
        <f ca="1">+SUM(E31:E35)</f>
        <v>1.0499999999999998</v>
      </c>
      <c r="F35" s="67">
        <f ca="1">+SUM(F31:F35)</f>
        <v>39510</v>
      </c>
    </row>
    <row r="36" spans="1:6" ht="13.5" thickTop="1" x14ac:dyDescent="0.2"/>
    <row r="37" spans="1:6" x14ac:dyDescent="0.2">
      <c r="C37" s="824" t="s">
        <v>85</v>
      </c>
      <c r="D37" s="824"/>
      <c r="E37" s="824" t="s">
        <v>86</v>
      </c>
      <c r="F37" s="824"/>
    </row>
    <row r="38" spans="1:6" x14ac:dyDescent="0.2">
      <c r="B38" s="55" t="s">
        <v>107</v>
      </c>
      <c r="C38" s="64" t="s">
        <v>104</v>
      </c>
      <c r="D38" s="64" t="s">
        <v>108</v>
      </c>
      <c r="E38" s="64" t="s">
        <v>104</v>
      </c>
      <c r="F38" s="64" t="s">
        <v>105</v>
      </c>
    </row>
    <row r="39" spans="1:6" x14ac:dyDescent="0.2">
      <c r="C39" s="64"/>
      <c r="D39" s="64"/>
      <c r="E39" s="64"/>
      <c r="F39" s="64"/>
    </row>
    <row r="40" spans="1:6" x14ac:dyDescent="0.2">
      <c r="B40" t="s">
        <v>100</v>
      </c>
      <c r="C40">
        <v>42.09</v>
      </c>
      <c r="D40">
        <v>3353710</v>
      </c>
      <c r="E40">
        <v>63.12</v>
      </c>
      <c r="F40">
        <v>5365625</v>
      </c>
    </row>
    <row r="41" spans="1:6" x14ac:dyDescent="0.2">
      <c r="B41" t="s">
        <v>101</v>
      </c>
      <c r="C41">
        <v>0</v>
      </c>
      <c r="D41">
        <v>0</v>
      </c>
      <c r="E41">
        <v>3.37</v>
      </c>
      <c r="F41">
        <v>286875</v>
      </c>
    </row>
    <row r="42" spans="1:6" x14ac:dyDescent="0.2">
      <c r="B42" t="s">
        <v>102</v>
      </c>
      <c r="C42">
        <v>1.86</v>
      </c>
      <c r="D42">
        <v>154495</v>
      </c>
      <c r="E42">
        <v>0</v>
      </c>
      <c r="F42">
        <v>0</v>
      </c>
    </row>
    <row r="43" spans="1:6" x14ac:dyDescent="0.2">
      <c r="B43" t="s">
        <v>16</v>
      </c>
      <c r="C43">
        <v>17.95</v>
      </c>
      <c r="D43">
        <v>2679319</v>
      </c>
      <c r="E43">
        <v>17.559999999999999</v>
      </c>
      <c r="F43">
        <v>3863900</v>
      </c>
    </row>
    <row r="44" spans="1:6" ht="13.5" thickBot="1" x14ac:dyDescent="0.25">
      <c r="C44" s="72">
        <f ca="1">+SUM(C40:C45)</f>
        <v>61.900000000000006</v>
      </c>
      <c r="D44" s="72">
        <f ca="1">+SUM(D40:D45)</f>
        <v>6187524</v>
      </c>
      <c r="E44" s="72">
        <f ca="1">+SUM(E40:E45)</f>
        <v>84.05</v>
      </c>
      <c r="F44" s="72">
        <f ca="1">+SUM(F40:F45)</f>
        <v>9516400</v>
      </c>
    </row>
    <row r="46" spans="1:6" x14ac:dyDescent="0.2">
      <c r="A46">
        <v>7</v>
      </c>
      <c r="B46" s="44" t="s">
        <v>109</v>
      </c>
      <c r="D46" s="53"/>
    </row>
    <row r="47" spans="1:6" x14ac:dyDescent="0.2">
      <c r="B47" s="44"/>
      <c r="D47" s="53"/>
    </row>
    <row r="48" spans="1:6" x14ac:dyDescent="0.2">
      <c r="B48" s="44"/>
      <c r="C48" s="824" t="s">
        <v>85</v>
      </c>
      <c r="D48" s="824"/>
      <c r="E48" s="824" t="s">
        <v>86</v>
      </c>
      <c r="F48" s="824"/>
    </row>
    <row r="49" spans="1:6" x14ac:dyDescent="0.2">
      <c r="C49" s="3" t="s">
        <v>104</v>
      </c>
      <c r="D49" s="3" t="s">
        <v>110</v>
      </c>
      <c r="E49" s="64" t="s">
        <v>104</v>
      </c>
      <c r="F49" s="64" t="s">
        <v>105</v>
      </c>
    </row>
    <row r="50" spans="1:6" x14ac:dyDescent="0.2">
      <c r="B50" t="s">
        <v>111</v>
      </c>
      <c r="C50" s="10"/>
      <c r="D50">
        <v>41480</v>
      </c>
      <c r="E50">
        <v>59400</v>
      </c>
      <c r="F50">
        <v>81702</v>
      </c>
    </row>
    <row r="51" spans="1:6" x14ac:dyDescent="0.2">
      <c r="B51" t="s">
        <v>112</v>
      </c>
      <c r="C51" s="10"/>
      <c r="D51">
        <v>76431</v>
      </c>
      <c r="E51">
        <v>20000</v>
      </c>
      <c r="F51">
        <v>116211</v>
      </c>
    </row>
    <row r="52" spans="1:6" x14ac:dyDescent="0.2">
      <c r="B52" t="s">
        <v>113</v>
      </c>
      <c r="C52" s="10"/>
      <c r="D52">
        <v>999866</v>
      </c>
      <c r="E52">
        <v>35572</v>
      </c>
      <c r="F52">
        <v>1365843</v>
      </c>
    </row>
    <row r="53" spans="1:6" x14ac:dyDescent="0.2">
      <c r="B53" t="s">
        <v>114</v>
      </c>
      <c r="C53" s="73" t="s">
        <v>115</v>
      </c>
      <c r="D53" s="53">
        <f>65482+33332+996183+237316</f>
        <v>1332313</v>
      </c>
      <c r="E53" s="73" t="s">
        <v>115</v>
      </c>
      <c r="F53">
        <v>4357219</v>
      </c>
    </row>
    <row r="54" spans="1:6" x14ac:dyDescent="0.2">
      <c r="B54" t="s">
        <v>116</v>
      </c>
      <c r="C54" s="73" t="s">
        <v>115</v>
      </c>
      <c r="D54">
        <f>4600+274</f>
        <v>4874</v>
      </c>
      <c r="E54" s="73" t="s">
        <v>115</v>
      </c>
      <c r="F54">
        <v>8317</v>
      </c>
    </row>
    <row r="56" spans="1:6" ht="13.5" thickBot="1" x14ac:dyDescent="0.25">
      <c r="D56" s="67">
        <f>+SUM(D50:D55)</f>
        <v>2454964</v>
      </c>
      <c r="F56" s="67">
        <f>+SUM(F50:F55)</f>
        <v>5929292</v>
      </c>
    </row>
    <row r="57" spans="1:6" ht="13.5" thickTop="1" x14ac:dyDescent="0.2">
      <c r="D57" s="53"/>
    </row>
    <row r="58" spans="1:6" x14ac:dyDescent="0.2">
      <c r="A58">
        <v>8</v>
      </c>
      <c r="B58" s="44" t="s">
        <v>117</v>
      </c>
      <c r="D58" s="53"/>
    </row>
    <row r="59" spans="1:6" x14ac:dyDescent="0.2">
      <c r="B59" s="44" t="s">
        <v>118</v>
      </c>
      <c r="D59" s="53"/>
    </row>
    <row r="60" spans="1:6" x14ac:dyDescent="0.2">
      <c r="C60" s="44" t="s">
        <v>85</v>
      </c>
      <c r="D60" s="174" t="s">
        <v>119</v>
      </c>
      <c r="E60" s="55" t="s">
        <v>120</v>
      </c>
      <c r="F60" s="74" t="s">
        <v>119</v>
      </c>
    </row>
    <row r="61" spans="1:6" x14ac:dyDescent="0.2">
      <c r="B61" s="44" t="s">
        <v>121</v>
      </c>
      <c r="C61" s="44" t="s">
        <v>110</v>
      </c>
      <c r="D61" s="174"/>
      <c r="E61" s="44" t="s">
        <v>110</v>
      </c>
      <c r="F61" s="53"/>
    </row>
    <row r="62" spans="1:6" x14ac:dyDescent="0.2">
      <c r="B62" s="63" t="s">
        <v>122</v>
      </c>
      <c r="C62" s="74">
        <v>0</v>
      </c>
      <c r="D62" s="175">
        <v>0</v>
      </c>
      <c r="E62">
        <v>0</v>
      </c>
      <c r="F62">
        <v>0</v>
      </c>
    </row>
    <row r="63" spans="1:6" x14ac:dyDescent="0.2">
      <c r="B63" s="63" t="s">
        <v>123</v>
      </c>
      <c r="C63" s="74">
        <v>1245743</v>
      </c>
      <c r="D63" s="175">
        <v>100</v>
      </c>
      <c r="E63">
        <v>1572073</v>
      </c>
      <c r="F63">
        <v>100</v>
      </c>
    </row>
    <row r="64" spans="1:6" x14ac:dyDescent="0.2">
      <c r="C64" s="60"/>
      <c r="D64" s="174"/>
    </row>
    <row r="65" spans="1:8" x14ac:dyDescent="0.2">
      <c r="B65" s="44" t="s">
        <v>124</v>
      </c>
      <c r="C65" s="60"/>
      <c r="D65" s="174"/>
    </row>
    <row r="66" spans="1:8" x14ac:dyDescent="0.2">
      <c r="B66" s="63" t="s">
        <v>122</v>
      </c>
      <c r="C66" s="74">
        <v>0</v>
      </c>
      <c r="D66" s="175">
        <v>0</v>
      </c>
      <c r="E66">
        <v>0</v>
      </c>
      <c r="F66">
        <v>0</v>
      </c>
    </row>
    <row r="67" spans="1:8" x14ac:dyDescent="0.2">
      <c r="B67" s="63" t="s">
        <v>123</v>
      </c>
      <c r="C67" s="74">
        <v>1258423</v>
      </c>
      <c r="D67" s="175">
        <v>100</v>
      </c>
      <c r="E67">
        <v>4357219</v>
      </c>
      <c r="F67">
        <v>100</v>
      </c>
    </row>
    <row r="68" spans="1:8" x14ac:dyDescent="0.2">
      <c r="C68" s="75">
        <f>+SUM(C62:C67)</f>
        <v>2504166</v>
      </c>
      <c r="E68" s="75">
        <f>+SUM(E62:E67)</f>
        <v>5929292</v>
      </c>
    </row>
    <row r="69" spans="1:8" ht="15.75" x14ac:dyDescent="0.2">
      <c r="A69">
        <v>9</v>
      </c>
      <c r="B69" s="825" t="s">
        <v>125</v>
      </c>
      <c r="C69" s="825"/>
      <c r="D69" s="825"/>
      <c r="F69" s="77"/>
      <c r="G69" s="827"/>
      <c r="H69" s="827"/>
    </row>
    <row r="70" spans="1:8" ht="15.75" x14ac:dyDescent="0.2">
      <c r="D70" s="78" t="s">
        <v>85</v>
      </c>
      <c r="E70" s="78" t="s">
        <v>86</v>
      </c>
      <c r="F70" s="77"/>
      <c r="G70" s="827"/>
      <c r="H70" s="827"/>
    </row>
    <row r="71" spans="1:8" ht="15.75" x14ac:dyDescent="0.2">
      <c r="D71" s="78" t="s">
        <v>126</v>
      </c>
      <c r="E71" s="78" t="s">
        <v>126</v>
      </c>
      <c r="F71" s="77"/>
      <c r="G71" s="828"/>
      <c r="H71" s="828"/>
    </row>
    <row r="72" spans="1:8" ht="15.75" x14ac:dyDescent="0.2">
      <c r="D72" s="79" t="s">
        <v>127</v>
      </c>
      <c r="E72" s="79" t="s">
        <v>127</v>
      </c>
      <c r="F72" s="77"/>
      <c r="G72" s="823"/>
      <c r="H72" s="823"/>
    </row>
    <row r="73" spans="1:8" ht="15.75" x14ac:dyDescent="0.2">
      <c r="A73">
        <v>10</v>
      </c>
      <c r="B73" s="825" t="s">
        <v>128</v>
      </c>
      <c r="C73" s="825"/>
      <c r="D73" s="825"/>
      <c r="E73" s="80"/>
      <c r="F73" s="81"/>
      <c r="G73" s="826"/>
      <c r="H73" s="826"/>
    </row>
    <row r="74" spans="1:8" ht="15.75" x14ac:dyDescent="0.2">
      <c r="D74" s="78" t="s">
        <v>85</v>
      </c>
      <c r="E74" s="78" t="s">
        <v>86</v>
      </c>
      <c r="F74" s="82"/>
      <c r="G74" s="826"/>
      <c r="H74" s="826"/>
    </row>
    <row r="75" spans="1:8" ht="15.75" x14ac:dyDescent="0.2">
      <c r="B75" s="77"/>
      <c r="C75" s="77"/>
      <c r="D75" s="78" t="s">
        <v>126</v>
      </c>
      <c r="E75" s="78" t="s">
        <v>126</v>
      </c>
      <c r="F75" s="81"/>
      <c r="G75" s="828"/>
      <c r="H75" s="828"/>
    </row>
    <row r="76" spans="1:8" ht="15.75" x14ac:dyDescent="0.2">
      <c r="B76" s="77"/>
      <c r="C76" s="77"/>
      <c r="D76" s="79" t="s">
        <v>127</v>
      </c>
      <c r="E76" s="79" t="s">
        <v>127</v>
      </c>
      <c r="F76" s="77"/>
      <c r="G76" s="823"/>
      <c r="H76" s="823"/>
    </row>
    <row r="77" spans="1:8" x14ac:dyDescent="0.2">
      <c r="B77" s="83"/>
      <c r="C77" s="83"/>
      <c r="D77" s="83"/>
      <c r="E77" s="83"/>
      <c r="F77" s="83"/>
      <c r="G77" s="83"/>
      <c r="H77" s="83"/>
    </row>
    <row r="78" spans="1:8" ht="15.75" x14ac:dyDescent="0.2">
      <c r="B78" s="84" t="s">
        <v>7</v>
      </c>
      <c r="C78" s="77"/>
      <c r="D78" s="77"/>
    </row>
    <row r="79" spans="1:8" ht="15" customHeight="1" x14ac:dyDescent="0.2">
      <c r="B79" s="831" t="s">
        <v>415</v>
      </c>
      <c r="C79" s="831"/>
      <c r="D79" s="821" t="s">
        <v>417</v>
      </c>
      <c r="E79" s="821"/>
      <c r="F79" s="821"/>
    </row>
    <row r="80" spans="1:8" ht="15.75" x14ac:dyDescent="0.2">
      <c r="B80" s="173" t="s">
        <v>416</v>
      </c>
      <c r="C80" s="77"/>
      <c r="D80" s="77"/>
    </row>
    <row r="81" spans="2:6" ht="15.75" x14ac:dyDescent="0.2">
      <c r="B81" s="77"/>
      <c r="C81" s="77"/>
      <c r="D81" s="77"/>
    </row>
    <row r="82" spans="2:6" ht="15.75" x14ac:dyDescent="0.2">
      <c r="D82" s="85" t="s">
        <v>12</v>
      </c>
      <c r="E82" s="830" t="s">
        <v>45</v>
      </c>
      <c r="F82" s="830"/>
    </row>
    <row r="83" spans="2:6" ht="15.75" x14ac:dyDescent="0.2">
      <c r="B83" s="76" t="s">
        <v>129</v>
      </c>
      <c r="C83" s="86"/>
      <c r="D83" s="176"/>
    </row>
    <row r="84" spans="2:6" ht="15.75" x14ac:dyDescent="0.2">
      <c r="B84" s="76" t="s">
        <v>130</v>
      </c>
      <c r="C84" s="77"/>
      <c r="D84" s="77"/>
    </row>
    <row r="85" spans="2:6" ht="15.75" x14ac:dyDescent="0.2">
      <c r="B85" s="84" t="s">
        <v>131</v>
      </c>
      <c r="C85" s="77"/>
      <c r="D85" s="77"/>
    </row>
    <row r="86" spans="2:6" ht="15.75" x14ac:dyDescent="0.2">
      <c r="B86" s="84" t="s">
        <v>402</v>
      </c>
      <c r="C86" s="77"/>
      <c r="D86" s="77"/>
    </row>
  </sheetData>
  <mergeCells count="23">
    <mergeCell ref="E82:F82"/>
    <mergeCell ref="G74:H74"/>
    <mergeCell ref="G75:H75"/>
    <mergeCell ref="G76:H76"/>
    <mergeCell ref="B79:C79"/>
    <mergeCell ref="D79:F79"/>
    <mergeCell ref="E1:F1"/>
    <mergeCell ref="C8:D8"/>
    <mergeCell ref="E8:F8"/>
    <mergeCell ref="E21:F21"/>
    <mergeCell ref="C29:D29"/>
    <mergeCell ref="E29:F29"/>
    <mergeCell ref="G72:H72"/>
    <mergeCell ref="C37:D37"/>
    <mergeCell ref="E37:F37"/>
    <mergeCell ref="E48:F48"/>
    <mergeCell ref="B73:D73"/>
    <mergeCell ref="G73:H73"/>
    <mergeCell ref="C48:D48"/>
    <mergeCell ref="B69:D69"/>
    <mergeCell ref="G69:H69"/>
    <mergeCell ref="G70:H70"/>
    <mergeCell ref="G71:H71"/>
  </mergeCells>
  <phoneticPr fontId="0" type="noConversion"/>
  <pageMargins left="0.75" right="0.75" top="1" bottom="1" header="0.5" footer="0.5"/>
  <pageSetup orientation="portrait" horizontalDpi="180" verticalDpi="180" r:id="rId1"/>
  <headerFooter alignWithMargins="0"/>
  <rowBreaks count="1" manualBreakCount="1">
    <brk id="4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workbookViewId="0">
      <selection activeCell="E18" sqref="E18"/>
    </sheetView>
  </sheetViews>
  <sheetFormatPr defaultRowHeight="12.75" x14ac:dyDescent="0.2"/>
  <cols>
    <col min="1" max="1" width="7.140625" style="95" customWidth="1"/>
    <col min="2" max="2" width="36.140625" customWidth="1"/>
    <col min="3" max="4" width="17.42578125" customWidth="1"/>
    <col min="5" max="5" width="15" customWidth="1"/>
    <col min="6" max="6" width="10.85546875" customWidth="1"/>
  </cols>
  <sheetData>
    <row r="2" spans="1:5" ht="15" x14ac:dyDescent="0.2">
      <c r="A2" s="88" t="s">
        <v>0</v>
      </c>
      <c r="B2" s="89" t="s">
        <v>132</v>
      </c>
      <c r="C2" s="90"/>
      <c r="D2" s="90"/>
    </row>
    <row r="3" spans="1:5" ht="15.75" x14ac:dyDescent="0.25">
      <c r="A3" s="88"/>
      <c r="B3" s="91" t="s">
        <v>133</v>
      </c>
      <c r="C3" s="90"/>
      <c r="D3" s="90"/>
    </row>
    <row r="4" spans="1:5" ht="15" x14ac:dyDescent="0.2">
      <c r="A4" s="88"/>
      <c r="B4" s="90"/>
      <c r="C4" s="90"/>
      <c r="D4" s="90"/>
    </row>
    <row r="5" spans="1:5" ht="12.75" customHeight="1" x14ac:dyDescent="0.2">
      <c r="A5" s="92" t="s">
        <v>134</v>
      </c>
      <c r="B5" s="92" t="s">
        <v>135</v>
      </c>
      <c r="C5" s="92" t="s">
        <v>136</v>
      </c>
      <c r="D5" s="92" t="s">
        <v>137</v>
      </c>
      <c r="E5" s="92" t="s">
        <v>119</v>
      </c>
    </row>
    <row r="6" spans="1:5" ht="15" x14ac:dyDescent="0.2">
      <c r="A6" s="93"/>
      <c r="B6" s="93"/>
      <c r="C6" s="93" t="s">
        <v>138</v>
      </c>
      <c r="D6" s="93"/>
      <c r="E6" s="52" t="s">
        <v>139</v>
      </c>
    </row>
    <row r="7" spans="1:5" ht="15" x14ac:dyDescent="0.2">
      <c r="A7" s="88"/>
      <c r="B7" s="88"/>
      <c r="C7" s="88"/>
      <c r="D7" s="88"/>
    </row>
    <row r="8" spans="1:5" ht="15" x14ac:dyDescent="0.2">
      <c r="A8" s="88">
        <v>1</v>
      </c>
      <c r="B8" s="90" t="s">
        <v>140</v>
      </c>
      <c r="C8" s="90">
        <f>10698+490+1000</f>
        <v>12188</v>
      </c>
      <c r="D8" s="90">
        <f>+C8*100</f>
        <v>1218800</v>
      </c>
      <c r="E8" s="57">
        <f>D8*100/2748300</f>
        <v>44.347414765491393</v>
      </c>
    </row>
    <row r="9" spans="1:5" ht="15" x14ac:dyDescent="0.2">
      <c r="A9" s="88"/>
      <c r="B9" s="90"/>
      <c r="C9" s="90"/>
      <c r="D9" s="90"/>
    </row>
    <row r="10" spans="1:5" ht="15" x14ac:dyDescent="0.2">
      <c r="A10" s="88">
        <v>2</v>
      </c>
      <c r="B10" s="90" t="s">
        <v>141</v>
      </c>
      <c r="C10" s="90">
        <v>1300</v>
      </c>
      <c r="D10" s="90">
        <f>+C10*100</f>
        <v>130000</v>
      </c>
      <c r="E10" s="53">
        <f>D10*100/2748300</f>
        <v>4.7301968489611763</v>
      </c>
    </row>
    <row r="11" spans="1:5" ht="15" x14ac:dyDescent="0.2">
      <c r="A11" s="88"/>
      <c r="B11" s="90"/>
      <c r="C11" s="90"/>
      <c r="D11" s="90"/>
    </row>
    <row r="12" spans="1:5" ht="15" x14ac:dyDescent="0.2">
      <c r="A12" s="88">
        <v>3</v>
      </c>
      <c r="B12" s="90" t="s">
        <v>142</v>
      </c>
      <c r="C12" s="90">
        <v>1350</v>
      </c>
      <c r="D12" s="90">
        <f>+C12*100</f>
        <v>135000</v>
      </c>
      <c r="E12" s="53">
        <f>D12*100/2748300</f>
        <v>4.9121274969981439</v>
      </c>
    </row>
    <row r="13" spans="1:5" ht="15" x14ac:dyDescent="0.2">
      <c r="A13" s="88"/>
      <c r="B13" s="90"/>
      <c r="C13" s="90"/>
      <c r="D13" s="90"/>
    </row>
    <row r="14" spans="1:5" ht="15" x14ac:dyDescent="0.2">
      <c r="A14" s="88">
        <v>4</v>
      </c>
      <c r="B14" s="90" t="s">
        <v>143</v>
      </c>
      <c r="C14" s="90">
        <f>2554+500+2000</f>
        <v>5054</v>
      </c>
      <c r="D14" s="90">
        <f>+C14*100</f>
        <v>505400</v>
      </c>
      <c r="E14" s="57">
        <f>D14*100/2748300</f>
        <v>18.389549903576757</v>
      </c>
    </row>
    <row r="15" spans="1:5" ht="15" x14ac:dyDescent="0.2">
      <c r="A15" s="88"/>
      <c r="B15" s="90"/>
      <c r="C15" s="90"/>
      <c r="D15" s="90"/>
    </row>
    <row r="16" spans="1:5" ht="15" x14ac:dyDescent="0.2">
      <c r="A16" s="88">
        <v>5</v>
      </c>
      <c r="B16" s="90" t="s">
        <v>144</v>
      </c>
      <c r="C16" s="90">
        <v>3395</v>
      </c>
      <c r="D16" s="90">
        <f>+C16*100</f>
        <v>339500</v>
      </c>
      <c r="E16" s="53">
        <f>D16*100/2748300</f>
        <v>12.353091001710148</v>
      </c>
    </row>
    <row r="17" spans="1:5" ht="15" x14ac:dyDescent="0.2">
      <c r="A17" s="88"/>
      <c r="B17" s="90"/>
      <c r="C17" s="90"/>
      <c r="D17" s="90"/>
    </row>
    <row r="18" spans="1:5" ht="15" x14ac:dyDescent="0.2">
      <c r="A18" s="88">
        <v>6</v>
      </c>
      <c r="B18" s="90" t="s">
        <v>145</v>
      </c>
      <c r="C18" s="90">
        <v>2836</v>
      </c>
      <c r="D18" s="90">
        <f>+C18*100</f>
        <v>283600</v>
      </c>
      <c r="E18" s="53">
        <f>D18*100/2748300</f>
        <v>10.319106356656842</v>
      </c>
    </row>
    <row r="19" spans="1:5" ht="15" x14ac:dyDescent="0.2">
      <c r="A19" s="88"/>
      <c r="B19" s="90"/>
      <c r="C19" s="90"/>
      <c r="D19" s="90"/>
    </row>
    <row r="20" spans="1:5" ht="15" x14ac:dyDescent="0.2">
      <c r="A20" s="88">
        <v>7</v>
      </c>
      <c r="B20" s="90" t="s">
        <v>146</v>
      </c>
      <c r="C20" s="90">
        <v>1350</v>
      </c>
      <c r="D20" s="90">
        <f>+C20*100</f>
        <v>135000</v>
      </c>
      <c r="E20" s="53">
        <f>D20*100/2748300</f>
        <v>4.9121274969981439</v>
      </c>
    </row>
    <row r="21" spans="1:5" ht="15" x14ac:dyDescent="0.2">
      <c r="A21" s="88"/>
      <c r="B21" s="90"/>
      <c r="C21" s="90"/>
      <c r="D21" s="90"/>
    </row>
    <row r="22" spans="1:5" ht="15" x14ac:dyDescent="0.2">
      <c r="A22" s="88">
        <v>8</v>
      </c>
      <c r="B22" s="90" t="s">
        <v>147</v>
      </c>
      <c r="C22" s="90">
        <v>10</v>
      </c>
      <c r="D22" s="90">
        <f>+C22*100</f>
        <v>1000</v>
      </c>
      <c r="E22" s="53">
        <f>D22*100/2748300</f>
        <v>3.6386129607393659E-2</v>
      </c>
    </row>
    <row r="23" spans="1:5" ht="15.75" x14ac:dyDescent="0.25">
      <c r="A23" s="88"/>
      <c r="B23" s="90"/>
      <c r="C23" s="94">
        <f>SUM(C8:C22)</f>
        <v>27483</v>
      </c>
      <c r="D23" s="94">
        <f>SUM(D8:D22)</f>
        <v>2748300</v>
      </c>
      <c r="E23" s="94">
        <f>SUM(E8:E22)</f>
        <v>99.999999999999986</v>
      </c>
    </row>
    <row r="24" spans="1:5" ht="15" x14ac:dyDescent="0.2">
      <c r="A24" s="88"/>
      <c r="B24" s="90"/>
      <c r="C24" s="90"/>
      <c r="D24" s="90"/>
    </row>
    <row r="25" spans="1:5" ht="15" x14ac:dyDescent="0.2">
      <c r="A25" s="88"/>
      <c r="B25" s="90"/>
      <c r="C25" s="90"/>
      <c r="D25" s="90"/>
    </row>
  </sheetData>
  <phoneticPr fontId="0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6"/>
  <sheetViews>
    <sheetView workbookViewId="0">
      <selection activeCell="F29" sqref="F29"/>
    </sheetView>
  </sheetViews>
  <sheetFormatPr defaultRowHeight="12.75" x14ac:dyDescent="0.2"/>
  <cols>
    <col min="1" max="1" width="7.140625" style="95" customWidth="1"/>
    <col min="2" max="2" width="36.140625" customWidth="1"/>
    <col min="3" max="4" width="17.42578125" customWidth="1"/>
    <col min="5" max="5" width="15" customWidth="1"/>
    <col min="6" max="6" width="10.85546875" customWidth="1"/>
  </cols>
  <sheetData>
    <row r="3" spans="1:6" ht="18" x14ac:dyDescent="0.25">
      <c r="A3" s="832" t="s">
        <v>148</v>
      </c>
      <c r="B3" s="832"/>
      <c r="C3" s="832"/>
      <c r="D3" s="832"/>
      <c r="E3" s="832"/>
    </row>
    <row r="4" spans="1:6" x14ac:dyDescent="0.2">
      <c r="A4" s="833" t="s">
        <v>149</v>
      </c>
      <c r="B4" s="833"/>
      <c r="C4" s="833"/>
      <c r="D4" s="833"/>
      <c r="E4" s="833"/>
    </row>
    <row r="5" spans="1:6" ht="13.5" thickBot="1" x14ac:dyDescent="0.25">
      <c r="A5" s="96" t="s">
        <v>150</v>
      </c>
      <c r="B5" s="96" t="s">
        <v>151</v>
      </c>
      <c r="C5" s="97" t="s">
        <v>152</v>
      </c>
      <c r="D5" s="97" t="s">
        <v>153</v>
      </c>
      <c r="E5" s="71" t="s">
        <v>54</v>
      </c>
    </row>
    <row r="6" spans="1:6" ht="13.5" thickTop="1" x14ac:dyDescent="0.2">
      <c r="A6" s="98"/>
      <c r="B6" s="98"/>
      <c r="C6" s="98"/>
      <c r="D6" s="98"/>
      <c r="E6" s="98"/>
    </row>
    <row r="7" spans="1:6" x14ac:dyDescent="0.2">
      <c r="A7" s="95">
        <v>1</v>
      </c>
      <c r="B7" t="s">
        <v>154</v>
      </c>
      <c r="C7" s="99">
        <v>528989</v>
      </c>
      <c r="D7" s="99">
        <v>58760</v>
      </c>
      <c r="E7" s="53">
        <f t="shared" ref="E7:E56" si="0">+C7+D7</f>
        <v>587749</v>
      </c>
    </row>
    <row r="8" spans="1:6" x14ac:dyDescent="0.2">
      <c r="A8" s="95">
        <v>2</v>
      </c>
      <c r="B8" t="s">
        <v>155</v>
      </c>
      <c r="C8" s="99">
        <v>378415</v>
      </c>
      <c r="D8" s="99">
        <v>80600</v>
      </c>
      <c r="E8" s="53">
        <f t="shared" si="0"/>
        <v>459015</v>
      </c>
    </row>
    <row r="9" spans="1:6" x14ac:dyDescent="0.2">
      <c r="A9" s="95">
        <v>3</v>
      </c>
      <c r="B9" t="s">
        <v>156</v>
      </c>
      <c r="C9" s="99">
        <v>192225</v>
      </c>
      <c r="D9" s="99">
        <v>54600</v>
      </c>
      <c r="E9" s="53">
        <f t="shared" si="0"/>
        <v>246825</v>
      </c>
      <c r="F9" s="53"/>
    </row>
    <row r="10" spans="1:6" x14ac:dyDescent="0.2">
      <c r="A10" s="95">
        <v>4</v>
      </c>
      <c r="B10" t="s">
        <v>157</v>
      </c>
      <c r="C10" s="99">
        <v>29250</v>
      </c>
      <c r="D10" s="99">
        <v>0</v>
      </c>
      <c r="E10" s="53">
        <f t="shared" si="0"/>
        <v>29250</v>
      </c>
      <c r="F10" s="53"/>
    </row>
    <row r="11" spans="1:6" x14ac:dyDescent="0.2">
      <c r="A11" s="95">
        <v>5</v>
      </c>
      <c r="B11" t="s">
        <v>158</v>
      </c>
      <c r="C11" s="99">
        <v>67300</v>
      </c>
      <c r="D11" s="99">
        <v>196560</v>
      </c>
      <c r="E11" s="53">
        <f t="shared" si="0"/>
        <v>263860</v>
      </c>
      <c r="F11" s="53"/>
    </row>
    <row r="12" spans="1:6" x14ac:dyDescent="0.2">
      <c r="A12" s="95">
        <v>6</v>
      </c>
      <c r="B12" t="s">
        <v>159</v>
      </c>
      <c r="C12" s="99">
        <v>1467272</v>
      </c>
      <c r="D12" s="99">
        <v>288860</v>
      </c>
      <c r="E12" s="53">
        <f t="shared" si="0"/>
        <v>1756132</v>
      </c>
      <c r="F12" s="53"/>
    </row>
    <row r="13" spans="1:6" x14ac:dyDescent="0.2">
      <c r="A13" s="95">
        <v>7</v>
      </c>
      <c r="B13" t="s">
        <v>160</v>
      </c>
      <c r="C13" s="99">
        <v>72563</v>
      </c>
      <c r="D13" s="99">
        <v>0</v>
      </c>
      <c r="E13" s="53">
        <f t="shared" si="0"/>
        <v>72563</v>
      </c>
      <c r="F13" s="53"/>
    </row>
    <row r="14" spans="1:6" x14ac:dyDescent="0.2">
      <c r="A14" s="95">
        <v>8</v>
      </c>
      <c r="B14" t="s">
        <v>161</v>
      </c>
      <c r="C14" s="99">
        <v>226300</v>
      </c>
      <c r="D14" s="99">
        <v>0</v>
      </c>
      <c r="E14" s="53">
        <f t="shared" si="0"/>
        <v>226300</v>
      </c>
      <c r="F14" s="53"/>
    </row>
    <row r="15" spans="1:6" x14ac:dyDescent="0.2">
      <c r="A15" s="95">
        <v>9</v>
      </c>
      <c r="B15" t="s">
        <v>162</v>
      </c>
      <c r="C15" s="99">
        <v>155936</v>
      </c>
      <c r="D15" s="99">
        <v>0</v>
      </c>
      <c r="E15" s="53">
        <f t="shared" si="0"/>
        <v>155936</v>
      </c>
      <c r="F15" s="53"/>
    </row>
    <row r="16" spans="1:6" x14ac:dyDescent="0.2">
      <c r="A16" s="95">
        <v>10</v>
      </c>
      <c r="B16" t="s">
        <v>163</v>
      </c>
      <c r="C16" s="99">
        <v>10312</v>
      </c>
      <c r="D16" s="99">
        <v>0</v>
      </c>
      <c r="E16" s="53">
        <f t="shared" si="0"/>
        <v>10312</v>
      </c>
      <c r="F16" s="53"/>
    </row>
    <row r="17" spans="1:6" x14ac:dyDescent="0.2">
      <c r="A17" s="95">
        <v>11</v>
      </c>
      <c r="B17" t="s">
        <v>164</v>
      </c>
      <c r="C17" s="99">
        <v>42000</v>
      </c>
      <c r="D17" s="99">
        <v>0</v>
      </c>
      <c r="E17" s="53">
        <f t="shared" si="0"/>
        <v>42000</v>
      </c>
      <c r="F17" s="53"/>
    </row>
    <row r="18" spans="1:6" x14ac:dyDescent="0.2">
      <c r="A18" s="95">
        <v>12</v>
      </c>
      <c r="B18" t="s">
        <v>165</v>
      </c>
      <c r="C18" s="99">
        <v>100750</v>
      </c>
      <c r="D18" s="99">
        <v>0</v>
      </c>
      <c r="E18" s="53">
        <f t="shared" si="0"/>
        <v>100750</v>
      </c>
      <c r="F18" s="53"/>
    </row>
    <row r="19" spans="1:6" x14ac:dyDescent="0.2">
      <c r="A19" s="95">
        <v>13</v>
      </c>
      <c r="B19" t="s">
        <v>166</v>
      </c>
      <c r="C19" s="99">
        <v>101469</v>
      </c>
      <c r="D19" s="99">
        <v>0</v>
      </c>
      <c r="E19" s="53">
        <f t="shared" si="0"/>
        <v>101469</v>
      </c>
      <c r="F19" s="53"/>
    </row>
    <row r="20" spans="1:6" x14ac:dyDescent="0.2">
      <c r="A20" s="95">
        <v>14</v>
      </c>
      <c r="B20" t="s">
        <v>167</v>
      </c>
      <c r="C20" s="99">
        <v>15050</v>
      </c>
      <c r="D20" s="99">
        <v>0</v>
      </c>
      <c r="E20" s="53">
        <f t="shared" si="0"/>
        <v>15050</v>
      </c>
      <c r="F20" s="53"/>
    </row>
    <row r="21" spans="1:6" x14ac:dyDescent="0.2">
      <c r="A21" s="95">
        <v>15</v>
      </c>
      <c r="B21" t="s">
        <v>168</v>
      </c>
      <c r="C21" s="99">
        <v>26494</v>
      </c>
      <c r="D21" s="99">
        <v>0</v>
      </c>
      <c r="E21" s="53">
        <f t="shared" si="0"/>
        <v>26494</v>
      </c>
      <c r="F21" s="53"/>
    </row>
    <row r="22" spans="1:6" x14ac:dyDescent="0.2">
      <c r="A22" s="95">
        <v>16</v>
      </c>
      <c r="B22" s="63" t="s">
        <v>169</v>
      </c>
      <c r="C22" s="100">
        <v>64869</v>
      </c>
      <c r="D22" s="100">
        <f>5980+22100</f>
        <v>28080</v>
      </c>
      <c r="E22" s="53">
        <f t="shared" si="0"/>
        <v>92949</v>
      </c>
      <c r="F22" s="53"/>
    </row>
    <row r="23" spans="1:6" x14ac:dyDescent="0.2">
      <c r="A23" s="95">
        <v>17</v>
      </c>
      <c r="B23" t="s">
        <v>170</v>
      </c>
      <c r="C23" s="99">
        <v>0</v>
      </c>
      <c r="D23" s="99">
        <v>49400</v>
      </c>
      <c r="E23" s="53">
        <f t="shared" si="0"/>
        <v>49400</v>
      </c>
    </row>
    <row r="24" spans="1:6" x14ac:dyDescent="0.2">
      <c r="A24" s="95">
        <v>18</v>
      </c>
      <c r="B24" t="s">
        <v>171</v>
      </c>
      <c r="C24" s="99">
        <v>0</v>
      </c>
      <c r="D24" s="99">
        <v>242469</v>
      </c>
      <c r="E24" s="53">
        <f t="shared" si="0"/>
        <v>242469</v>
      </c>
    </row>
    <row r="25" spans="1:6" x14ac:dyDescent="0.2">
      <c r="A25" s="95">
        <v>19</v>
      </c>
      <c r="B25" t="s">
        <v>172</v>
      </c>
      <c r="C25" s="99">
        <v>15694</v>
      </c>
      <c r="D25" s="99">
        <v>0</v>
      </c>
      <c r="E25" s="53">
        <f t="shared" si="0"/>
        <v>15694</v>
      </c>
      <c r="F25" s="53"/>
    </row>
    <row r="26" spans="1:6" x14ac:dyDescent="0.2">
      <c r="A26" s="95">
        <v>20</v>
      </c>
      <c r="B26" t="s">
        <v>173</v>
      </c>
      <c r="C26" s="99">
        <v>5541</v>
      </c>
      <c r="D26" s="99">
        <v>0</v>
      </c>
      <c r="E26" s="53">
        <f t="shared" si="0"/>
        <v>5541</v>
      </c>
      <c r="F26" s="53"/>
    </row>
    <row r="27" spans="1:6" x14ac:dyDescent="0.2">
      <c r="A27" s="95">
        <v>21</v>
      </c>
      <c r="B27" t="s">
        <v>174</v>
      </c>
      <c r="C27" s="99">
        <v>40375</v>
      </c>
      <c r="D27" s="99">
        <v>0</v>
      </c>
      <c r="E27" s="53">
        <f>+C27+D27</f>
        <v>40375</v>
      </c>
      <c r="F27" s="53"/>
    </row>
    <row r="28" spans="1:6" x14ac:dyDescent="0.2">
      <c r="A28" s="95">
        <v>22</v>
      </c>
      <c r="B28" t="s">
        <v>175</v>
      </c>
      <c r="C28" s="99">
        <v>167285</v>
      </c>
      <c r="D28" s="99">
        <v>0</v>
      </c>
      <c r="E28" s="53">
        <f>+C28+D28</f>
        <v>167285</v>
      </c>
      <c r="F28" s="53"/>
    </row>
    <row r="29" spans="1:6" x14ac:dyDescent="0.2">
      <c r="A29" s="95">
        <v>23</v>
      </c>
      <c r="B29" t="s">
        <v>176</v>
      </c>
      <c r="C29" s="99">
        <v>9250</v>
      </c>
      <c r="D29" s="99">
        <v>0</v>
      </c>
      <c r="E29" s="53">
        <f t="shared" si="0"/>
        <v>9250</v>
      </c>
      <c r="F29" s="53"/>
    </row>
    <row r="30" spans="1:6" x14ac:dyDescent="0.2">
      <c r="A30" s="95">
        <v>24</v>
      </c>
      <c r="B30" t="s">
        <v>177</v>
      </c>
      <c r="C30" s="99">
        <v>0</v>
      </c>
      <c r="D30" s="99">
        <v>30680</v>
      </c>
      <c r="E30" s="53">
        <f t="shared" si="0"/>
        <v>30680</v>
      </c>
      <c r="F30" s="53"/>
    </row>
    <row r="31" spans="1:6" x14ac:dyDescent="0.2">
      <c r="A31" s="95">
        <v>25</v>
      </c>
      <c r="B31" t="s">
        <v>178</v>
      </c>
      <c r="C31" s="99">
        <v>0</v>
      </c>
      <c r="D31" s="99">
        <v>72800</v>
      </c>
      <c r="E31" s="53">
        <f t="shared" si="0"/>
        <v>72800</v>
      </c>
      <c r="F31" s="53"/>
    </row>
    <row r="32" spans="1:6" x14ac:dyDescent="0.2">
      <c r="A32" s="95">
        <v>26</v>
      </c>
      <c r="B32" t="s">
        <v>179</v>
      </c>
      <c r="C32" s="99">
        <v>54000</v>
      </c>
      <c r="D32" s="99">
        <v>0</v>
      </c>
      <c r="E32" s="53">
        <f t="shared" si="0"/>
        <v>54000</v>
      </c>
    </row>
    <row r="33" spans="1:6" x14ac:dyDescent="0.2">
      <c r="A33" s="95">
        <v>27</v>
      </c>
      <c r="B33" t="s">
        <v>180</v>
      </c>
      <c r="C33" s="99">
        <v>131406</v>
      </c>
      <c r="D33" s="99">
        <v>0</v>
      </c>
      <c r="E33" s="53">
        <f t="shared" si="0"/>
        <v>131406</v>
      </c>
    </row>
    <row r="34" spans="1:6" x14ac:dyDescent="0.2">
      <c r="A34" s="95">
        <v>28</v>
      </c>
      <c r="B34" t="s">
        <v>181</v>
      </c>
      <c r="C34" s="99">
        <v>127313</v>
      </c>
      <c r="D34" s="99">
        <v>0</v>
      </c>
      <c r="E34" s="53">
        <f t="shared" si="0"/>
        <v>127313</v>
      </c>
    </row>
    <row r="35" spans="1:6" x14ac:dyDescent="0.2">
      <c r="A35" s="95">
        <v>29</v>
      </c>
      <c r="B35" t="s">
        <v>182</v>
      </c>
      <c r="C35" s="99">
        <v>103482</v>
      </c>
      <c r="D35" s="99">
        <v>0</v>
      </c>
      <c r="E35" s="53">
        <f t="shared" si="0"/>
        <v>103482</v>
      </c>
    </row>
    <row r="36" spans="1:6" x14ac:dyDescent="0.2">
      <c r="A36" s="95">
        <v>30</v>
      </c>
      <c r="B36" t="s">
        <v>183</v>
      </c>
      <c r="C36" s="99">
        <v>5000</v>
      </c>
      <c r="D36" s="99">
        <v>67860</v>
      </c>
      <c r="E36" s="53">
        <f t="shared" si="0"/>
        <v>72860</v>
      </c>
      <c r="F36" s="53"/>
    </row>
    <row r="37" spans="1:6" x14ac:dyDescent="0.2">
      <c r="A37" s="95">
        <v>31</v>
      </c>
      <c r="B37" t="s">
        <v>184</v>
      </c>
      <c r="C37" s="99">
        <v>232281</v>
      </c>
      <c r="D37" s="99">
        <v>148000</v>
      </c>
      <c r="E37" s="53">
        <f t="shared" si="0"/>
        <v>380281</v>
      </c>
      <c r="F37" s="53"/>
    </row>
    <row r="38" spans="1:6" x14ac:dyDescent="0.2">
      <c r="A38" s="95">
        <v>32</v>
      </c>
      <c r="B38" t="s">
        <v>185</v>
      </c>
      <c r="C38" s="99">
        <v>9788</v>
      </c>
      <c r="D38" s="99">
        <v>0</v>
      </c>
      <c r="E38" s="53">
        <f t="shared" si="0"/>
        <v>9788</v>
      </c>
      <c r="F38" s="53"/>
    </row>
    <row r="39" spans="1:6" x14ac:dyDescent="0.2">
      <c r="A39" s="95">
        <v>34</v>
      </c>
      <c r="B39" t="s">
        <v>186</v>
      </c>
      <c r="C39" s="99">
        <v>0</v>
      </c>
      <c r="D39" s="99">
        <v>78000</v>
      </c>
      <c r="E39" s="53">
        <f t="shared" si="0"/>
        <v>78000</v>
      </c>
    </row>
    <row r="40" spans="1:6" x14ac:dyDescent="0.2">
      <c r="A40" s="95">
        <v>35</v>
      </c>
      <c r="B40" t="s">
        <v>187</v>
      </c>
      <c r="C40" s="99">
        <v>22000</v>
      </c>
      <c r="D40" s="99">
        <v>10660</v>
      </c>
      <c r="E40" s="53">
        <f t="shared" si="0"/>
        <v>32660</v>
      </c>
    </row>
    <row r="41" spans="1:6" x14ac:dyDescent="0.2">
      <c r="A41" s="95">
        <v>36</v>
      </c>
      <c r="B41" t="s">
        <v>188</v>
      </c>
      <c r="C41" s="99">
        <v>179995</v>
      </c>
      <c r="D41" s="99">
        <v>210340</v>
      </c>
      <c r="E41" s="53">
        <f t="shared" si="0"/>
        <v>390335</v>
      </c>
    </row>
    <row r="42" spans="1:6" x14ac:dyDescent="0.2">
      <c r="A42" s="95">
        <v>37</v>
      </c>
      <c r="B42" t="s">
        <v>189</v>
      </c>
      <c r="C42" s="99">
        <v>87694</v>
      </c>
      <c r="D42" s="99">
        <v>0</v>
      </c>
      <c r="E42" s="53">
        <f t="shared" si="0"/>
        <v>87694</v>
      </c>
    </row>
    <row r="43" spans="1:6" x14ac:dyDescent="0.2">
      <c r="A43" s="95">
        <v>38</v>
      </c>
      <c r="B43" t="s">
        <v>190</v>
      </c>
      <c r="C43" s="99">
        <f>400400+60000</f>
        <v>460400</v>
      </c>
      <c r="D43" s="99">
        <v>80340</v>
      </c>
      <c r="E43" s="53">
        <f t="shared" si="0"/>
        <v>540740</v>
      </c>
    </row>
    <row r="44" spans="1:6" x14ac:dyDescent="0.2">
      <c r="A44" s="95">
        <v>39</v>
      </c>
      <c r="B44" t="s">
        <v>191</v>
      </c>
      <c r="C44" s="99">
        <v>38000</v>
      </c>
      <c r="D44" s="99">
        <v>0</v>
      </c>
      <c r="E44" s="53">
        <f t="shared" si="0"/>
        <v>38000</v>
      </c>
    </row>
    <row r="45" spans="1:6" x14ac:dyDescent="0.2">
      <c r="A45" s="95">
        <v>40</v>
      </c>
      <c r="B45" t="s">
        <v>192</v>
      </c>
      <c r="C45" s="99">
        <v>163494</v>
      </c>
      <c r="D45" s="99">
        <v>0</v>
      </c>
      <c r="E45" s="53">
        <f t="shared" si="0"/>
        <v>163494</v>
      </c>
    </row>
    <row r="46" spans="1:6" x14ac:dyDescent="0.2">
      <c r="A46" s="95">
        <v>41</v>
      </c>
      <c r="B46" t="s">
        <v>193</v>
      </c>
      <c r="C46" s="99">
        <v>20190</v>
      </c>
      <c r="D46" s="99">
        <v>0</v>
      </c>
      <c r="E46" s="53">
        <f t="shared" si="0"/>
        <v>20190</v>
      </c>
    </row>
    <row r="47" spans="1:6" x14ac:dyDescent="0.2">
      <c r="A47" s="95">
        <v>42</v>
      </c>
      <c r="B47" t="s">
        <v>194</v>
      </c>
      <c r="C47" s="99">
        <v>65234</v>
      </c>
      <c r="D47" s="99">
        <v>4680</v>
      </c>
      <c r="E47" s="53">
        <f t="shared" si="0"/>
        <v>69914</v>
      </c>
    </row>
    <row r="48" spans="1:6" x14ac:dyDescent="0.2">
      <c r="A48" s="95">
        <v>43</v>
      </c>
      <c r="B48" t="s">
        <v>195</v>
      </c>
      <c r="C48" s="99">
        <v>9750</v>
      </c>
      <c r="D48" s="99">
        <v>0</v>
      </c>
      <c r="E48" s="53">
        <f t="shared" si="0"/>
        <v>9750</v>
      </c>
    </row>
    <row r="49" spans="1:6" x14ac:dyDescent="0.2">
      <c r="A49" s="95">
        <v>44</v>
      </c>
      <c r="B49" t="s">
        <v>196</v>
      </c>
      <c r="C49" s="99">
        <v>45056</v>
      </c>
      <c r="D49" s="99">
        <v>0</v>
      </c>
      <c r="E49" s="53">
        <f t="shared" si="0"/>
        <v>45056</v>
      </c>
    </row>
    <row r="50" spans="1:6" x14ac:dyDescent="0.2">
      <c r="A50" s="95">
        <v>45</v>
      </c>
      <c r="B50" t="s">
        <v>197</v>
      </c>
      <c r="C50" s="99">
        <v>135750</v>
      </c>
      <c r="D50" s="99">
        <v>9360</v>
      </c>
      <c r="E50" s="53">
        <f t="shared" si="0"/>
        <v>145110</v>
      </c>
    </row>
    <row r="51" spans="1:6" x14ac:dyDescent="0.2">
      <c r="A51" s="95">
        <v>46</v>
      </c>
      <c r="B51" t="s">
        <v>198</v>
      </c>
      <c r="C51" s="99">
        <v>0</v>
      </c>
      <c r="D51" s="99">
        <v>86320</v>
      </c>
      <c r="E51" s="53">
        <f t="shared" si="0"/>
        <v>86320</v>
      </c>
    </row>
    <row r="52" spans="1:6" x14ac:dyDescent="0.2">
      <c r="A52" s="95">
        <v>47</v>
      </c>
      <c r="B52" t="s">
        <v>199</v>
      </c>
      <c r="C52" s="99">
        <v>6000</v>
      </c>
      <c r="D52" s="99">
        <v>49660</v>
      </c>
      <c r="E52" s="53">
        <f t="shared" si="0"/>
        <v>55660</v>
      </c>
    </row>
    <row r="53" spans="1:6" x14ac:dyDescent="0.2">
      <c r="A53" s="95">
        <v>48</v>
      </c>
      <c r="B53" t="s">
        <v>200</v>
      </c>
      <c r="C53" s="99">
        <v>39000</v>
      </c>
      <c r="D53" s="99">
        <v>153660</v>
      </c>
      <c r="E53" s="53">
        <f t="shared" si="0"/>
        <v>192660</v>
      </c>
    </row>
    <row r="54" spans="1:6" x14ac:dyDescent="0.2">
      <c r="A54" s="95">
        <v>49</v>
      </c>
      <c r="B54" t="s">
        <v>201</v>
      </c>
      <c r="C54" s="99">
        <v>27000</v>
      </c>
      <c r="D54" s="99">
        <v>0</v>
      </c>
      <c r="E54" s="53">
        <f t="shared" si="0"/>
        <v>27000</v>
      </c>
    </row>
    <row r="55" spans="1:6" x14ac:dyDescent="0.2">
      <c r="A55" s="95">
        <v>50</v>
      </c>
      <c r="B55" t="s">
        <v>202</v>
      </c>
      <c r="C55" s="99">
        <v>16998.75</v>
      </c>
      <c r="D55" s="99">
        <v>48620</v>
      </c>
      <c r="E55" s="53">
        <f t="shared" si="0"/>
        <v>65618.75</v>
      </c>
    </row>
    <row r="56" spans="1:6" x14ac:dyDescent="0.2">
      <c r="A56" s="95">
        <v>51</v>
      </c>
      <c r="B56" t="s">
        <v>203</v>
      </c>
      <c r="C56" s="99">
        <v>61513</v>
      </c>
      <c r="D56" s="99">
        <v>0</v>
      </c>
      <c r="E56" s="53">
        <f t="shared" si="0"/>
        <v>61513</v>
      </c>
    </row>
    <row r="57" spans="1:6" ht="13.5" thickBot="1" x14ac:dyDescent="0.25">
      <c r="C57" s="101">
        <f>+SUM(C6:C56)</f>
        <v>5758683.75</v>
      </c>
      <c r="D57" s="101">
        <f>+SUM(D6:D56)</f>
        <v>2050309</v>
      </c>
      <c r="E57" s="101">
        <f>+SUM(E6:E56)</f>
        <v>7808992.75</v>
      </c>
      <c r="F57" s="102"/>
    </row>
    <row r="58" spans="1:6" ht="13.5" thickTop="1" x14ac:dyDescent="0.2"/>
    <row r="59" spans="1:6" x14ac:dyDescent="0.2">
      <c r="F59" s="99"/>
    </row>
    <row r="60" spans="1:6" x14ac:dyDescent="0.2">
      <c r="D60" s="99"/>
    </row>
    <row r="61" spans="1:6" x14ac:dyDescent="0.2">
      <c r="E61" s="99"/>
    </row>
    <row r="63" spans="1:6" x14ac:dyDescent="0.2">
      <c r="E63" s="99"/>
      <c r="F63" s="99"/>
    </row>
    <row r="66" spans="5:5" x14ac:dyDescent="0.2">
      <c r="E66" s="99"/>
    </row>
  </sheetData>
  <mergeCells count="2">
    <mergeCell ref="A3:E3"/>
    <mergeCell ref="A4:E4"/>
  </mergeCells>
  <phoneticPr fontId="0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9"/>
  <sheetViews>
    <sheetView workbookViewId="0">
      <selection activeCell="E29" sqref="E26:E29"/>
    </sheetView>
  </sheetViews>
  <sheetFormatPr defaultRowHeight="12.75" x14ac:dyDescent="0.2"/>
  <cols>
    <col min="1" max="1" width="20.140625" customWidth="1"/>
    <col min="2" max="2" width="13.85546875" customWidth="1"/>
    <col min="3" max="3" width="10" customWidth="1"/>
    <col min="4" max="4" width="10.5703125" customWidth="1"/>
    <col min="5" max="5" width="10.85546875" customWidth="1"/>
    <col min="6" max="6" width="10.140625" customWidth="1"/>
    <col min="7" max="7" width="8" customWidth="1"/>
    <col min="8" max="8" width="13.140625" customWidth="1"/>
    <col min="9" max="9" width="14.28515625" customWidth="1"/>
    <col min="10" max="10" width="15" customWidth="1"/>
    <col min="11" max="11" width="11.85546875" bestFit="1" customWidth="1"/>
  </cols>
  <sheetData>
    <row r="4" spans="1:11" x14ac:dyDescent="0.2">
      <c r="A4" s="55" t="s">
        <v>230</v>
      </c>
    </row>
    <row r="6" spans="1:11" x14ac:dyDescent="0.2">
      <c r="A6" s="47" t="s">
        <v>231</v>
      </c>
    </row>
    <row r="9" spans="1:11" x14ac:dyDescent="0.2">
      <c r="A9" s="140" t="s">
        <v>232</v>
      </c>
      <c r="B9" s="140" t="s">
        <v>233</v>
      </c>
      <c r="C9" s="140" t="s">
        <v>234</v>
      </c>
      <c r="D9" s="140" t="s">
        <v>236</v>
      </c>
      <c r="E9" s="140" t="s">
        <v>236</v>
      </c>
      <c r="F9" s="140" t="s">
        <v>240</v>
      </c>
      <c r="G9" s="140" t="s">
        <v>54</v>
      </c>
      <c r="H9" s="140" t="s">
        <v>241</v>
      </c>
      <c r="I9" s="140" t="s">
        <v>241</v>
      </c>
      <c r="J9" s="140" t="s">
        <v>54</v>
      </c>
      <c r="K9" s="140" t="s">
        <v>234</v>
      </c>
    </row>
    <row r="10" spans="1:11" x14ac:dyDescent="0.2">
      <c r="A10" s="141"/>
      <c r="B10" s="141" t="s">
        <v>28</v>
      </c>
      <c r="C10" s="141" t="s">
        <v>235</v>
      </c>
      <c r="D10" s="141" t="s">
        <v>237</v>
      </c>
      <c r="E10" s="141" t="s">
        <v>239</v>
      </c>
      <c r="F10" s="141"/>
      <c r="G10" s="141"/>
      <c r="H10" s="142" t="s">
        <v>245</v>
      </c>
      <c r="I10" s="142" t="s">
        <v>245</v>
      </c>
      <c r="J10" s="141" t="s">
        <v>242</v>
      </c>
      <c r="K10" s="141" t="s">
        <v>243</v>
      </c>
    </row>
    <row r="11" spans="1:11" x14ac:dyDescent="0.2">
      <c r="A11" s="141"/>
      <c r="B11" s="141"/>
      <c r="C11" s="141"/>
      <c r="D11" s="141" t="s">
        <v>238</v>
      </c>
      <c r="E11" s="141" t="s">
        <v>238</v>
      </c>
      <c r="F11" s="141"/>
      <c r="G11" s="141" t="s">
        <v>244</v>
      </c>
      <c r="H11" s="142" t="s">
        <v>246</v>
      </c>
      <c r="I11" s="143">
        <v>-3</v>
      </c>
      <c r="J11" s="142" t="s">
        <v>247</v>
      </c>
      <c r="K11" s="142" t="s">
        <v>248</v>
      </c>
    </row>
    <row r="12" spans="1:11" x14ac:dyDescent="0.2">
      <c r="A12" s="144"/>
      <c r="B12" s="144"/>
      <c r="C12" s="145">
        <v>-1</v>
      </c>
      <c r="D12" s="145">
        <v>-2</v>
      </c>
      <c r="E12" s="145">
        <v>-3</v>
      </c>
      <c r="F12" s="145">
        <v>-4</v>
      </c>
      <c r="G12" s="145">
        <v>-5</v>
      </c>
      <c r="H12" s="145">
        <v>-6</v>
      </c>
      <c r="I12" s="145">
        <v>-7</v>
      </c>
      <c r="J12" s="145">
        <v>-8</v>
      </c>
      <c r="K12" s="145">
        <v>-9</v>
      </c>
    </row>
    <row r="13" spans="1:11" x14ac:dyDescent="0.2">
      <c r="B13" s="95"/>
    </row>
    <row r="14" spans="1:11" x14ac:dyDescent="0.2">
      <c r="A14" t="s">
        <v>249</v>
      </c>
      <c r="B14" s="114">
        <v>0.1</v>
      </c>
      <c r="C14">
        <f>2627083</f>
        <v>2627083</v>
      </c>
      <c r="D14" s="168">
        <v>0</v>
      </c>
      <c r="E14" s="168">
        <v>0</v>
      </c>
      <c r="F14" s="168">
        <v>0</v>
      </c>
      <c r="G14">
        <f>SUM(C14:E14)-F14</f>
        <v>2627083</v>
      </c>
      <c r="H14">
        <f>SUM(C14:D14)*B14</f>
        <v>262708.3</v>
      </c>
      <c r="I14" s="170">
        <f>E14*B14</f>
        <v>0</v>
      </c>
      <c r="J14">
        <f>SUM(H14:I14)</f>
        <v>262708.3</v>
      </c>
      <c r="K14">
        <f>G14-J14</f>
        <v>2364374.7000000002</v>
      </c>
    </row>
    <row r="15" spans="1:11" x14ac:dyDescent="0.2">
      <c r="B15" s="95"/>
      <c r="E15" s="168"/>
      <c r="I15" s="170"/>
    </row>
    <row r="16" spans="1:11" x14ac:dyDescent="0.2">
      <c r="A16" t="s">
        <v>250</v>
      </c>
      <c r="B16" s="114">
        <v>0.15</v>
      </c>
      <c r="C16">
        <f>533900</f>
        <v>533900</v>
      </c>
      <c r="D16" s="168">
        <v>0</v>
      </c>
      <c r="E16" s="168">
        <v>0</v>
      </c>
      <c r="F16" s="168">
        <v>0</v>
      </c>
      <c r="G16">
        <f>SUM(C16:E16)-F16</f>
        <v>533900</v>
      </c>
      <c r="H16">
        <f>SUM(C16:D16)*B16</f>
        <v>80085</v>
      </c>
      <c r="I16" s="170">
        <f>E16*B16</f>
        <v>0</v>
      </c>
      <c r="J16">
        <f>SUM(H16:I16)</f>
        <v>80085</v>
      </c>
      <c r="K16">
        <f>G16-J16</f>
        <v>453815</v>
      </c>
    </row>
    <row r="17" spans="1:11" x14ac:dyDescent="0.2">
      <c r="B17" s="95"/>
      <c r="D17" s="168"/>
      <c r="E17" s="168"/>
      <c r="F17" s="168"/>
      <c r="I17" s="170"/>
    </row>
    <row r="18" spans="1:11" x14ac:dyDescent="0.2">
      <c r="A18" t="s">
        <v>251</v>
      </c>
      <c r="B18" s="114">
        <v>0.15</v>
      </c>
      <c r="C18">
        <f>6935</f>
        <v>6935</v>
      </c>
      <c r="D18" s="168">
        <v>0</v>
      </c>
      <c r="E18" s="168">
        <v>0</v>
      </c>
      <c r="F18" s="168">
        <v>0</v>
      </c>
      <c r="G18">
        <f>SUM(C18:E18)-F18</f>
        <v>6935</v>
      </c>
      <c r="H18">
        <f>SUM(C18:D18)*B18</f>
        <v>1040.25</v>
      </c>
      <c r="I18" s="170">
        <f>E18*B18</f>
        <v>0</v>
      </c>
      <c r="J18">
        <f>SUM(H18:I18)</f>
        <v>1040.25</v>
      </c>
      <c r="K18">
        <f>G18-J18</f>
        <v>5894.75</v>
      </c>
    </row>
    <row r="19" spans="1:11" x14ac:dyDescent="0.2">
      <c r="B19" s="95"/>
      <c r="D19" s="168"/>
      <c r="E19" s="168"/>
      <c r="I19" s="170"/>
    </row>
    <row r="20" spans="1:11" x14ac:dyDescent="0.2">
      <c r="A20" t="s">
        <v>252</v>
      </c>
      <c r="B20" s="114">
        <v>0.15</v>
      </c>
      <c r="C20">
        <f>369045</f>
        <v>369045</v>
      </c>
      <c r="D20" s="168">
        <v>0</v>
      </c>
      <c r="E20" s="168">
        <v>0</v>
      </c>
      <c r="F20" s="1">
        <f>369045</f>
        <v>369045</v>
      </c>
      <c r="G20" s="172">
        <f>SUM(C20:E20)-F20</f>
        <v>0</v>
      </c>
      <c r="H20" s="168">
        <f>G20*B20</f>
        <v>0</v>
      </c>
      <c r="I20" s="170">
        <f>E20*B20</f>
        <v>0</v>
      </c>
      <c r="J20" s="168">
        <f>SUM(H20:I20)</f>
        <v>0</v>
      </c>
      <c r="K20" s="168">
        <f>G20-J20</f>
        <v>0</v>
      </c>
    </row>
    <row r="21" spans="1:11" x14ac:dyDescent="0.2">
      <c r="D21" s="168"/>
      <c r="E21" s="168"/>
      <c r="I21" s="170"/>
    </row>
    <row r="22" spans="1:11" x14ac:dyDescent="0.2">
      <c r="A22" s="50" t="s">
        <v>253</v>
      </c>
      <c r="B22" s="115"/>
      <c r="C22" s="50">
        <f t="shared" ref="C22:K22" si="0">SUM(C14:C21)</f>
        <v>3536963</v>
      </c>
      <c r="D22" s="169">
        <f t="shared" si="0"/>
        <v>0</v>
      </c>
      <c r="E22" s="169">
        <f t="shared" si="0"/>
        <v>0</v>
      </c>
      <c r="F22" s="50">
        <f t="shared" si="0"/>
        <v>369045</v>
      </c>
      <c r="G22" s="50">
        <f t="shared" si="0"/>
        <v>3167918</v>
      </c>
      <c r="H22" s="50">
        <f t="shared" si="0"/>
        <v>343833.55</v>
      </c>
      <c r="I22" s="171">
        <f t="shared" si="0"/>
        <v>0</v>
      </c>
      <c r="J22" s="50">
        <f t="shared" si="0"/>
        <v>343833.55</v>
      </c>
      <c r="K22" s="50">
        <f t="shared" si="0"/>
        <v>2824084.45</v>
      </c>
    </row>
    <row r="26" spans="1:11" x14ac:dyDescent="0.2">
      <c r="B26" s="87"/>
      <c r="E26">
        <f>1011809*B14</f>
        <v>101180.90000000001</v>
      </c>
    </row>
    <row r="27" spans="1:11" x14ac:dyDescent="0.2">
      <c r="E27">
        <f>414042*B16</f>
        <v>62106.299999999996</v>
      </c>
    </row>
    <row r="29" spans="1:11" x14ac:dyDescent="0.2">
      <c r="E29">
        <f>SUM(E26:E28)</f>
        <v>163287.20000000001</v>
      </c>
    </row>
  </sheetData>
  <phoneticPr fontId="0" type="noConversion"/>
  <pageMargins left="0.75" right="0.75" top="1" bottom="1" header="0.5" footer="0.5"/>
  <pageSetup scale="8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8"/>
  <sheetViews>
    <sheetView workbookViewId="0">
      <selection activeCell="D9" sqref="D9"/>
    </sheetView>
  </sheetViews>
  <sheetFormatPr defaultRowHeight="12.75" x14ac:dyDescent="0.2"/>
  <cols>
    <col min="1" max="1" width="38.7109375" bestFit="1" customWidth="1"/>
    <col min="2" max="2" width="16.140625" bestFit="1" customWidth="1"/>
    <col min="3" max="3" width="15.5703125" bestFit="1" customWidth="1"/>
    <col min="4" max="4" width="14.28515625" bestFit="1" customWidth="1"/>
  </cols>
  <sheetData>
    <row r="3" spans="1:4" ht="15" x14ac:dyDescent="0.25">
      <c r="A3" s="815" t="s">
        <v>256</v>
      </c>
      <c r="B3" s="815"/>
      <c r="C3" s="815"/>
      <c r="D3" s="815"/>
    </row>
    <row r="4" spans="1:4" ht="14.25" x14ac:dyDescent="0.2">
      <c r="A4" s="116"/>
      <c r="B4" s="116"/>
      <c r="C4" s="116"/>
      <c r="D4" s="116"/>
    </row>
    <row r="5" spans="1:4" ht="14.25" x14ac:dyDescent="0.2">
      <c r="A5" s="116" t="s">
        <v>257</v>
      </c>
      <c r="B5" s="117" t="s">
        <v>258</v>
      </c>
      <c r="C5" s="118" t="s">
        <v>259</v>
      </c>
      <c r="D5" s="119">
        <v>38807</v>
      </c>
    </row>
    <row r="6" spans="1:4" ht="14.25" x14ac:dyDescent="0.2">
      <c r="A6" s="116" t="s">
        <v>260</v>
      </c>
      <c r="B6" s="120">
        <f>ROUND(C16*C18,0)</f>
        <v>-55280</v>
      </c>
      <c r="C6" s="121">
        <f>D6-B6</f>
        <v>64331</v>
      </c>
      <c r="D6" s="121">
        <f>ROUND(B16*B18,0)</f>
        <v>9051</v>
      </c>
    </row>
    <row r="7" spans="1:4" ht="14.25" x14ac:dyDescent="0.2">
      <c r="A7" s="116" t="s">
        <v>6</v>
      </c>
      <c r="B7" s="120"/>
      <c r="C7" s="121"/>
      <c r="D7" s="121"/>
    </row>
    <row r="8" spans="1:4" ht="14.25" x14ac:dyDescent="0.2">
      <c r="A8" s="116" t="s">
        <v>261</v>
      </c>
      <c r="B8" s="120">
        <v>0</v>
      </c>
      <c r="C8" s="121">
        <f>-ROUND(B23*B18,0)</f>
        <v>-10098</v>
      </c>
      <c r="D8" s="121">
        <f>C8</f>
        <v>-10098</v>
      </c>
    </row>
    <row r="9" spans="1:4" ht="14.25" x14ac:dyDescent="0.2">
      <c r="A9" s="118" t="s">
        <v>253</v>
      </c>
      <c r="B9" s="122">
        <f>SUM(B6:B8)</f>
        <v>-55280</v>
      </c>
      <c r="C9" s="122">
        <f>SUM(C6:C8)</f>
        <v>54233</v>
      </c>
      <c r="D9" s="122">
        <f>SUM(D6:D8)</f>
        <v>-1047</v>
      </c>
    </row>
    <row r="12" spans="1:4" ht="15" x14ac:dyDescent="0.25">
      <c r="B12" s="123" t="s">
        <v>266</v>
      </c>
      <c r="C12" s="136" t="s">
        <v>262</v>
      </c>
      <c r="D12" s="122"/>
    </row>
    <row r="13" spans="1:4" ht="14.25" x14ac:dyDescent="0.2">
      <c r="A13" s="116" t="s">
        <v>263</v>
      </c>
      <c r="B13" s="122">
        <f>Depreciation!J19-Depreciation!J9</f>
        <v>2850974.0268658474</v>
      </c>
      <c r="C13" s="122">
        <f>Depreciation!K19-Depreciation!K9</f>
        <v>3372733</v>
      </c>
      <c r="D13" s="122"/>
    </row>
    <row r="14" spans="1:4" ht="14.25" x14ac:dyDescent="0.2">
      <c r="A14" s="116" t="s">
        <v>264</v>
      </c>
      <c r="B14" s="122">
        <f>'Depreciation as per IT'!K22</f>
        <v>2824084.45</v>
      </c>
      <c r="C14" s="122">
        <f>'Depreciation as per IT'!C22</f>
        <v>3536963</v>
      </c>
      <c r="D14" s="122"/>
    </row>
    <row r="15" spans="1:4" ht="14.25" x14ac:dyDescent="0.2">
      <c r="A15" s="116"/>
      <c r="B15" s="122"/>
      <c r="C15" s="122"/>
      <c r="D15" s="122"/>
    </row>
    <row r="16" spans="1:4" ht="14.25" x14ac:dyDescent="0.2">
      <c r="A16" s="116" t="s">
        <v>265</v>
      </c>
      <c r="B16" s="122">
        <f>B13-B14</f>
        <v>26889.576865847223</v>
      </c>
      <c r="C16" s="122">
        <f>C13-C14</f>
        <v>-164230</v>
      </c>
      <c r="D16" s="122"/>
    </row>
    <row r="17" spans="1:4" ht="14.25" x14ac:dyDescent="0.2">
      <c r="A17" s="116"/>
      <c r="B17" s="116"/>
      <c r="C17" s="116"/>
      <c r="D17" s="122"/>
    </row>
    <row r="18" spans="1:4" ht="14.25" x14ac:dyDescent="0.2">
      <c r="A18" s="116" t="s">
        <v>267</v>
      </c>
      <c r="B18" s="124">
        <v>0.33660000000000001</v>
      </c>
      <c r="C18" s="124">
        <v>0.33660000000000001</v>
      </c>
      <c r="D18" s="122"/>
    </row>
    <row r="19" spans="1:4" ht="14.25" x14ac:dyDescent="0.2">
      <c r="A19" s="125"/>
      <c r="B19" s="125"/>
      <c r="C19" s="125"/>
      <c r="D19" s="122"/>
    </row>
    <row r="20" spans="1:4" ht="14.25" x14ac:dyDescent="0.2">
      <c r="A20" t="s">
        <v>277</v>
      </c>
      <c r="D20" s="122"/>
    </row>
    <row r="21" spans="1:4" ht="14.25" x14ac:dyDescent="0.2">
      <c r="A21" s="116" t="s">
        <v>275</v>
      </c>
      <c r="B21" s="129">
        <f>30000</f>
        <v>30000</v>
      </c>
      <c r="D21" s="122"/>
    </row>
    <row r="22" spans="1:4" ht="14.25" x14ac:dyDescent="0.2">
      <c r="B22" s="131"/>
      <c r="D22" s="122"/>
    </row>
    <row r="23" spans="1:4" ht="14.25" x14ac:dyDescent="0.2">
      <c r="B23" s="132">
        <f>SUM(B21:B22)</f>
        <v>30000</v>
      </c>
      <c r="D23" s="116"/>
    </row>
    <row r="24" spans="1:4" ht="14.25" x14ac:dyDescent="0.2">
      <c r="D24" s="116"/>
    </row>
    <row r="25" spans="1:4" ht="14.25" x14ac:dyDescent="0.2">
      <c r="D25" s="125"/>
    </row>
    <row r="33" spans="1:4" x14ac:dyDescent="0.2">
      <c r="C33" s="130"/>
      <c r="D33" s="130"/>
    </row>
    <row r="34" spans="1:4" x14ac:dyDescent="0.2">
      <c r="C34" s="130"/>
      <c r="D34" s="130"/>
    </row>
    <row r="37" spans="1:4" ht="15" x14ac:dyDescent="0.25">
      <c r="A37" s="133"/>
      <c r="B37" s="125"/>
      <c r="C37" s="125"/>
    </row>
    <row r="38" spans="1:4" ht="15" x14ac:dyDescent="0.25">
      <c r="A38" s="134"/>
      <c r="B38" s="125"/>
      <c r="C38" s="125"/>
    </row>
    <row r="39" spans="1:4" ht="14.25" x14ac:dyDescent="0.2">
      <c r="A39" s="125" t="s">
        <v>268</v>
      </c>
      <c r="B39" s="125" t="s">
        <v>269</v>
      </c>
      <c r="C39" s="125"/>
      <c r="D39" s="125"/>
    </row>
    <row r="40" spans="1:4" ht="15" x14ac:dyDescent="0.25">
      <c r="A40" s="123" t="s">
        <v>270</v>
      </c>
      <c r="B40" s="125" t="s">
        <v>271</v>
      </c>
      <c r="C40" s="125"/>
      <c r="D40" s="125"/>
    </row>
    <row r="41" spans="1:4" ht="14.25" x14ac:dyDescent="0.2">
      <c r="A41" s="125" t="s">
        <v>272</v>
      </c>
      <c r="B41" s="126">
        <f>1681923</f>
        <v>1681923</v>
      </c>
      <c r="C41" s="126"/>
      <c r="D41" s="126"/>
    </row>
    <row r="42" spans="1:4" ht="14.25" x14ac:dyDescent="0.2">
      <c r="A42" s="125" t="s">
        <v>273</v>
      </c>
      <c r="B42" s="126">
        <f>8561522-2500000</f>
        <v>6061522</v>
      </c>
      <c r="C42" s="126"/>
      <c r="D42" s="126"/>
    </row>
    <row r="43" spans="1:4" ht="14.25" x14ac:dyDescent="0.2">
      <c r="A43" s="125" t="s">
        <v>120</v>
      </c>
      <c r="B43" s="126">
        <v>7523240</v>
      </c>
      <c r="C43" s="126"/>
      <c r="D43" s="126"/>
    </row>
    <row r="44" spans="1:4" ht="14.25" x14ac:dyDescent="0.2">
      <c r="A44" s="125" t="s">
        <v>274</v>
      </c>
      <c r="B44" s="127">
        <v>7352778</v>
      </c>
      <c r="C44" s="126"/>
      <c r="D44" s="128"/>
    </row>
    <row r="45" spans="1:4" ht="14.25" x14ac:dyDescent="0.2">
      <c r="A45" s="125"/>
      <c r="B45" s="128">
        <f>SUM(B41:B44)</f>
        <v>22619463</v>
      </c>
      <c r="C45" s="126"/>
      <c r="D45" s="126">
        <v>22942190</v>
      </c>
    </row>
    <row r="46" spans="1:4" ht="14.25" x14ac:dyDescent="0.2">
      <c r="A46" s="125"/>
      <c r="B46" s="128"/>
      <c r="C46" s="126"/>
      <c r="D46" s="126">
        <f>+D45-B45</f>
        <v>322727</v>
      </c>
    </row>
    <row r="47" spans="1:4" ht="15.75" thickBot="1" x14ac:dyDescent="0.3">
      <c r="A47" s="123"/>
      <c r="B47" s="135"/>
    </row>
    <row r="48" spans="1:4" ht="13.5" thickTop="1" x14ac:dyDescent="0.2"/>
  </sheetData>
  <mergeCells count="1">
    <mergeCell ref="A3:D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12"/>
  <sheetViews>
    <sheetView topLeftCell="A22" workbookViewId="0">
      <selection activeCell="A50" sqref="A50"/>
    </sheetView>
  </sheetViews>
  <sheetFormatPr defaultRowHeight="12.75" x14ac:dyDescent="0.2"/>
  <cols>
    <col min="1" max="1" width="48.140625" customWidth="1"/>
    <col min="2" max="2" width="13.42578125" customWidth="1"/>
    <col min="3" max="3" width="16.85546875" style="432" customWidth="1"/>
    <col min="4" max="4" width="2.5703125" style="432" customWidth="1"/>
    <col min="5" max="5" width="27.28515625" style="432" customWidth="1"/>
    <col min="8" max="8" width="10.7109375" bestFit="1" customWidth="1"/>
    <col min="10" max="10" width="9.5703125" customWidth="1"/>
  </cols>
  <sheetData>
    <row r="1" spans="1:11" ht="15.75" x14ac:dyDescent="0.25">
      <c r="A1" s="761" t="str">
        <f>'COMB - SCHEDULES'!A1:F1</f>
        <v>GAYATRI VIDYA PARISHAD COLLEGE FOR DEGREE AND P.G. COURSES (AUTONOMOUS)</v>
      </c>
      <c r="B1" s="761"/>
      <c r="C1" s="761"/>
      <c r="D1" s="761"/>
      <c r="E1" s="761"/>
    </row>
    <row r="2" spans="1:11" ht="15.75" x14ac:dyDescent="0.2">
      <c r="A2" s="749" t="s">
        <v>630</v>
      </c>
      <c r="B2" s="749"/>
      <c r="C2" s="749"/>
      <c r="D2" s="749"/>
      <c r="E2" s="749"/>
      <c r="F2" s="591"/>
    </row>
    <row r="3" spans="1:11" ht="15.75" x14ac:dyDescent="0.25">
      <c r="A3" s="766" t="s">
        <v>663</v>
      </c>
      <c r="B3" s="766"/>
      <c r="C3" s="766"/>
      <c r="D3" s="766"/>
      <c r="E3" s="766"/>
    </row>
    <row r="4" spans="1:11" ht="16.5" thickBot="1" x14ac:dyDescent="0.3">
      <c r="A4" s="11"/>
      <c r="B4" s="11"/>
      <c r="C4" s="416"/>
      <c r="D4" s="416"/>
      <c r="E4" s="416"/>
    </row>
    <row r="5" spans="1:11" ht="15.75" x14ac:dyDescent="0.25">
      <c r="A5" s="767" t="s">
        <v>422</v>
      </c>
      <c r="B5" s="754" t="s">
        <v>1</v>
      </c>
      <c r="C5" s="433" t="s">
        <v>423</v>
      </c>
      <c r="D5" s="434"/>
      <c r="E5" s="435" t="s">
        <v>423</v>
      </c>
    </row>
    <row r="6" spans="1:11" ht="15.75" x14ac:dyDescent="0.25">
      <c r="A6" s="768"/>
      <c r="B6" s="756"/>
      <c r="C6" s="436" t="s">
        <v>15</v>
      </c>
      <c r="D6" s="437"/>
      <c r="E6" s="438" t="s">
        <v>15</v>
      </c>
    </row>
    <row r="7" spans="1:11" ht="15.75" x14ac:dyDescent="0.25">
      <c r="A7" s="768"/>
      <c r="B7" s="756"/>
      <c r="C7" s="439" t="str">
        <f>+'MCA Schedules'!D5</f>
        <v>31.03.2025</v>
      </c>
      <c r="D7" s="437"/>
      <c r="E7" s="440" t="str">
        <f>+'MCA Schedules'!F5</f>
        <v>31.03.2024</v>
      </c>
    </row>
    <row r="8" spans="1:11" ht="15.75" x14ac:dyDescent="0.25">
      <c r="A8" s="769"/>
      <c r="B8" s="758"/>
      <c r="C8" s="418" t="s">
        <v>495</v>
      </c>
      <c r="D8" s="441"/>
      <c r="E8" s="589" t="s">
        <v>495</v>
      </c>
    </row>
    <row r="9" spans="1:11" ht="15.75" x14ac:dyDescent="0.25">
      <c r="A9" s="660"/>
      <c r="B9" s="726"/>
      <c r="C9" s="417"/>
      <c r="D9" s="442"/>
      <c r="E9" s="443"/>
    </row>
    <row r="10" spans="1:11" ht="15.75" x14ac:dyDescent="0.25">
      <c r="A10" s="396" t="s">
        <v>8</v>
      </c>
      <c r="B10" s="707"/>
      <c r="C10" s="347"/>
      <c r="D10" s="416"/>
      <c r="E10" s="426"/>
    </row>
    <row r="11" spans="1:11" ht="15.75" x14ac:dyDescent="0.25">
      <c r="A11" s="396"/>
      <c r="B11" s="707"/>
      <c r="C11" s="347"/>
      <c r="D11" s="416"/>
      <c r="E11" s="426"/>
    </row>
    <row r="12" spans="1:11" ht="15.75" x14ac:dyDescent="0.25">
      <c r="A12" s="399" t="s">
        <v>446</v>
      </c>
      <c r="B12" s="747">
        <v>10</v>
      </c>
      <c r="C12" s="347">
        <f>'COMB - SCHEDULES'!D66</f>
        <v>49797100</v>
      </c>
      <c r="D12" s="416"/>
      <c r="E12" s="425">
        <f>'COMB - SCHEDULES'!F66</f>
        <v>52889795</v>
      </c>
      <c r="G12">
        <v>49797100</v>
      </c>
      <c r="H12">
        <v>52889795</v>
      </c>
      <c r="J12" s="642">
        <f>C12-G12</f>
        <v>0</v>
      </c>
      <c r="K12" s="642">
        <f>E12-H12</f>
        <v>0</v>
      </c>
    </row>
    <row r="13" spans="1:11" ht="15.75" x14ac:dyDescent="0.25">
      <c r="A13" s="399"/>
      <c r="B13" s="747"/>
      <c r="C13" s="347"/>
      <c r="D13" s="416"/>
      <c r="E13" s="426"/>
      <c r="G13">
        <v>0</v>
      </c>
      <c r="H13">
        <v>0</v>
      </c>
      <c r="J13" s="642">
        <f t="shared" ref="J13:J20" si="0">C13-G13</f>
        <v>0</v>
      </c>
      <c r="K13" s="642">
        <f t="shared" ref="K13:K20" si="1">E13-H13</f>
        <v>0</v>
      </c>
    </row>
    <row r="14" spans="1:11" ht="15.75" x14ac:dyDescent="0.25">
      <c r="A14" s="399" t="s">
        <v>605</v>
      </c>
      <c r="B14" s="747">
        <v>11</v>
      </c>
      <c r="C14" s="347">
        <f>'COMB - SCHEDULES'!D69</f>
        <v>938719</v>
      </c>
      <c r="D14" s="416"/>
      <c r="E14" s="425">
        <f>'COMB - SCHEDULES'!F69</f>
        <v>787536</v>
      </c>
      <c r="G14">
        <v>938719</v>
      </c>
      <c r="H14">
        <v>787536</v>
      </c>
      <c r="J14" s="642">
        <f t="shared" si="0"/>
        <v>0</v>
      </c>
      <c r="K14" s="642">
        <f t="shared" si="1"/>
        <v>0</v>
      </c>
    </row>
    <row r="15" spans="1:11" ht="15.75" x14ac:dyDescent="0.25">
      <c r="A15" s="399"/>
      <c r="B15" s="747"/>
      <c r="C15" s="347"/>
      <c r="D15" s="416"/>
      <c r="E15" s="426"/>
      <c r="G15">
        <v>0</v>
      </c>
      <c r="H15">
        <v>0</v>
      </c>
      <c r="J15" s="642">
        <f t="shared" si="0"/>
        <v>0</v>
      </c>
      <c r="K15" s="642">
        <f t="shared" si="1"/>
        <v>0</v>
      </c>
    </row>
    <row r="16" spans="1:11" ht="15.75" x14ac:dyDescent="0.25">
      <c r="A16" s="399" t="s">
        <v>448</v>
      </c>
      <c r="B16" s="747">
        <v>12</v>
      </c>
      <c r="C16" s="347">
        <f>'COMB - SCHEDULES'!D73</f>
        <v>3959782</v>
      </c>
      <c r="D16" s="416"/>
      <c r="E16" s="425">
        <f>'COMB - SCHEDULES'!F73</f>
        <v>1597504.6</v>
      </c>
      <c r="G16">
        <v>3959782</v>
      </c>
      <c r="H16">
        <v>1597504.6</v>
      </c>
      <c r="J16" s="642">
        <f t="shared" si="0"/>
        <v>0</v>
      </c>
      <c r="K16" s="642">
        <f t="shared" si="1"/>
        <v>0</v>
      </c>
    </row>
    <row r="17" spans="1:11" ht="15.75" x14ac:dyDescent="0.25">
      <c r="A17" s="399"/>
      <c r="B17" s="747"/>
      <c r="C17" s="347"/>
      <c r="D17" s="416"/>
      <c r="E17" s="426"/>
      <c r="G17">
        <v>0</v>
      </c>
      <c r="H17">
        <v>0</v>
      </c>
      <c r="J17" s="642">
        <f t="shared" si="0"/>
        <v>0</v>
      </c>
      <c r="K17" s="642">
        <f t="shared" si="1"/>
        <v>0</v>
      </c>
    </row>
    <row r="18" spans="1:11" ht="15.75" x14ac:dyDescent="0.25">
      <c r="A18" s="401" t="s">
        <v>0</v>
      </c>
      <c r="B18" s="707"/>
      <c r="C18" s="347"/>
      <c r="D18" s="416"/>
      <c r="E18" s="426"/>
      <c r="G18">
        <v>0</v>
      </c>
      <c r="H18">
        <v>0</v>
      </c>
      <c r="J18" s="642">
        <f t="shared" si="0"/>
        <v>0</v>
      </c>
      <c r="K18" s="642">
        <f t="shared" si="1"/>
        <v>0</v>
      </c>
    </row>
    <row r="19" spans="1:11" ht="16.5" thickBot="1" x14ac:dyDescent="0.3">
      <c r="A19" s="444" t="s">
        <v>476</v>
      </c>
      <c r="B19" s="467"/>
      <c r="C19" s="531">
        <f>SUM(C12:C18)</f>
        <v>54695601</v>
      </c>
      <c r="D19" s="539"/>
      <c r="E19" s="530">
        <f>SUM(E12:E17)</f>
        <v>55274835.600000001</v>
      </c>
      <c r="G19">
        <v>54695601</v>
      </c>
      <c r="H19">
        <v>55274835.600000001</v>
      </c>
      <c r="J19" s="642">
        <f t="shared" si="0"/>
        <v>0</v>
      </c>
      <c r="K19" s="642">
        <f t="shared" si="1"/>
        <v>0</v>
      </c>
    </row>
    <row r="20" spans="1:11" ht="15.75" x14ac:dyDescent="0.25">
      <c r="A20" s="401"/>
      <c r="B20" s="707"/>
      <c r="C20" s="347"/>
      <c r="D20" s="416"/>
      <c r="E20" s="426"/>
      <c r="G20">
        <v>0</v>
      </c>
      <c r="H20">
        <v>0</v>
      </c>
      <c r="J20" s="642">
        <f t="shared" si="0"/>
        <v>0</v>
      </c>
      <c r="K20" s="642">
        <f t="shared" si="1"/>
        <v>0</v>
      </c>
    </row>
    <row r="21" spans="1:11" ht="15.75" x14ac:dyDescent="0.25">
      <c r="A21" s="396" t="s">
        <v>9</v>
      </c>
      <c r="B21" s="707"/>
      <c r="C21" s="347"/>
      <c r="D21" s="416"/>
      <c r="E21" s="426"/>
      <c r="J21" s="642"/>
      <c r="K21" s="642"/>
    </row>
    <row r="22" spans="1:11" ht="15.75" x14ac:dyDescent="0.25">
      <c r="A22" s="396"/>
      <c r="B22" s="707"/>
      <c r="C22" s="347"/>
      <c r="D22" s="416"/>
      <c r="E22" s="426"/>
      <c r="G22">
        <v>0</v>
      </c>
      <c r="H22">
        <v>0</v>
      </c>
      <c r="J22" s="642">
        <f>C21-G22</f>
        <v>0</v>
      </c>
      <c r="K22" s="642">
        <f>E21-H22</f>
        <v>0</v>
      </c>
    </row>
    <row r="23" spans="1:11" ht="15.75" x14ac:dyDescent="0.25">
      <c r="A23" s="399" t="s">
        <v>451</v>
      </c>
      <c r="B23" s="747">
        <v>13</v>
      </c>
      <c r="C23" s="347">
        <f>'COMB - SCHEDULES'!D79</f>
        <v>45384998</v>
      </c>
      <c r="D23" s="416"/>
      <c r="E23" s="425">
        <f>'COMB - SCHEDULES'!F79</f>
        <v>26209257</v>
      </c>
      <c r="G23">
        <v>45384998</v>
      </c>
      <c r="H23">
        <v>26209257</v>
      </c>
      <c r="J23" s="642">
        <f>+C23-G23</f>
        <v>0</v>
      </c>
      <c r="K23" s="642">
        <f>+E23-H23</f>
        <v>0</v>
      </c>
    </row>
    <row r="24" spans="1:11" ht="15.75" x14ac:dyDescent="0.25">
      <c r="A24" s="399"/>
      <c r="B24" s="747"/>
      <c r="C24" s="347"/>
      <c r="D24" s="416"/>
      <c r="E24" s="426"/>
      <c r="G24">
        <v>0</v>
      </c>
      <c r="H24">
        <v>0</v>
      </c>
      <c r="J24" s="642">
        <f t="shared" ref="J24:J36" si="2">+C24-G24</f>
        <v>0</v>
      </c>
      <c r="K24" s="642">
        <f t="shared" ref="K24:K36" si="3">+E24-H24</f>
        <v>0</v>
      </c>
    </row>
    <row r="25" spans="1:11" ht="15.75" x14ac:dyDescent="0.25">
      <c r="A25" s="399" t="s">
        <v>452</v>
      </c>
      <c r="B25" s="747">
        <v>14</v>
      </c>
      <c r="C25" s="347">
        <f>'COMB - SCHEDULES'!D88</f>
        <v>10475782</v>
      </c>
      <c r="D25" s="416"/>
      <c r="E25" s="425">
        <f>'COMB - SCHEDULES'!F88</f>
        <v>10542274</v>
      </c>
      <c r="G25">
        <v>10475782</v>
      </c>
      <c r="H25">
        <v>10542274</v>
      </c>
      <c r="J25" s="642">
        <f t="shared" si="2"/>
        <v>0</v>
      </c>
      <c r="K25" s="642">
        <f t="shared" si="3"/>
        <v>0</v>
      </c>
    </row>
    <row r="26" spans="1:11" ht="15.75" x14ac:dyDescent="0.25">
      <c r="A26" s="399"/>
      <c r="B26" s="747"/>
      <c r="C26" s="347"/>
      <c r="D26" s="416"/>
      <c r="E26" s="426"/>
      <c r="G26">
        <v>0</v>
      </c>
      <c r="H26">
        <v>0</v>
      </c>
      <c r="J26" s="642">
        <f t="shared" si="2"/>
        <v>0</v>
      </c>
      <c r="K26" s="642">
        <f t="shared" si="3"/>
        <v>0</v>
      </c>
    </row>
    <row r="27" spans="1:11" ht="15.75" x14ac:dyDescent="0.25">
      <c r="A27" s="399" t="s">
        <v>485</v>
      </c>
      <c r="B27" s="747">
        <v>15</v>
      </c>
      <c r="C27" s="347">
        <f>'COMB - SCHEDULES'!D103</f>
        <v>5762829</v>
      </c>
      <c r="D27" s="416"/>
      <c r="E27" s="425">
        <f>'COMB - SCHEDULES'!F103</f>
        <v>5646596</v>
      </c>
      <c r="G27">
        <v>5762829</v>
      </c>
      <c r="H27">
        <v>5646596</v>
      </c>
      <c r="J27" s="642">
        <f t="shared" si="2"/>
        <v>0</v>
      </c>
      <c r="K27" s="642">
        <f t="shared" si="3"/>
        <v>0</v>
      </c>
    </row>
    <row r="28" spans="1:11" ht="15.75" x14ac:dyDescent="0.25">
      <c r="A28" s="399"/>
      <c r="B28" s="747"/>
      <c r="C28" s="347"/>
      <c r="D28" s="416"/>
      <c r="E28" s="426"/>
      <c r="G28">
        <v>0</v>
      </c>
      <c r="H28">
        <v>0</v>
      </c>
      <c r="J28" s="642">
        <f t="shared" si="2"/>
        <v>0</v>
      </c>
      <c r="K28" s="642">
        <f t="shared" si="3"/>
        <v>0</v>
      </c>
    </row>
    <row r="29" spans="1:11" ht="15.75" x14ac:dyDescent="0.25">
      <c r="A29" s="399" t="s">
        <v>553</v>
      </c>
      <c r="B29" s="747">
        <v>16</v>
      </c>
      <c r="C29" s="347">
        <f>'COMB - SCHEDULES'!D116</f>
        <v>3656.59</v>
      </c>
      <c r="D29" s="416"/>
      <c r="E29" s="425">
        <f>'COMB - SCHEDULES'!F116</f>
        <v>5076.83</v>
      </c>
      <c r="G29">
        <v>3656.59</v>
      </c>
      <c r="H29">
        <v>5076.83</v>
      </c>
      <c r="J29" s="642">
        <f t="shared" si="2"/>
        <v>0</v>
      </c>
      <c r="K29" s="642">
        <f t="shared" si="3"/>
        <v>0</v>
      </c>
    </row>
    <row r="30" spans="1:11" ht="15.75" x14ac:dyDescent="0.25">
      <c r="A30" s="399"/>
      <c r="B30" s="747"/>
      <c r="C30" s="347"/>
      <c r="D30" s="416"/>
      <c r="E30" s="426"/>
      <c r="G30">
        <v>0</v>
      </c>
      <c r="H30">
        <v>0</v>
      </c>
      <c r="J30" s="642">
        <f t="shared" si="2"/>
        <v>0</v>
      </c>
      <c r="K30" s="642">
        <f t="shared" si="3"/>
        <v>0</v>
      </c>
    </row>
    <row r="31" spans="1:11" ht="15.75" x14ac:dyDescent="0.25">
      <c r="A31" s="399" t="s">
        <v>554</v>
      </c>
      <c r="B31" s="747">
        <v>17</v>
      </c>
      <c r="C31" s="347">
        <f>'COMB - SCHEDULES'!D119</f>
        <v>0</v>
      </c>
      <c r="D31" s="416"/>
      <c r="E31" s="425">
        <f>'COMB - SCHEDULES'!F119</f>
        <v>0</v>
      </c>
      <c r="G31">
        <v>0</v>
      </c>
      <c r="H31">
        <v>0</v>
      </c>
      <c r="J31" s="642">
        <f t="shared" si="2"/>
        <v>0</v>
      </c>
      <c r="K31" s="642">
        <f t="shared" si="3"/>
        <v>0</v>
      </c>
    </row>
    <row r="32" spans="1:11" ht="15.75" x14ac:dyDescent="0.25">
      <c r="A32" s="399"/>
      <c r="B32" s="747"/>
      <c r="C32" s="347"/>
      <c r="D32" s="416"/>
      <c r="E32" s="425"/>
      <c r="G32">
        <v>0</v>
      </c>
      <c r="H32">
        <v>0</v>
      </c>
      <c r="J32" s="642">
        <f t="shared" si="2"/>
        <v>0</v>
      </c>
      <c r="K32" s="642">
        <f t="shared" si="3"/>
        <v>0</v>
      </c>
    </row>
    <row r="33" spans="1:11" ht="15.75" x14ac:dyDescent="0.25">
      <c r="A33" s="399" t="s">
        <v>10</v>
      </c>
      <c r="B33" s="342">
        <v>18</v>
      </c>
      <c r="C33" s="347">
        <f>'COMB - SCHEDULES'!D123</f>
        <v>3747439</v>
      </c>
      <c r="D33" s="347"/>
      <c r="E33" s="426">
        <f>'COMB - SCHEDULES'!F123</f>
        <v>4501986</v>
      </c>
      <c r="G33">
        <v>3747439.6835000003</v>
      </c>
      <c r="H33">
        <v>4501986</v>
      </c>
      <c r="J33" s="642">
        <f t="shared" si="2"/>
        <v>-0.68350000027567148</v>
      </c>
      <c r="K33" s="642">
        <f t="shared" si="3"/>
        <v>0</v>
      </c>
    </row>
    <row r="34" spans="1:11" ht="15.75" x14ac:dyDescent="0.25">
      <c r="A34" s="399"/>
      <c r="B34" s="707"/>
      <c r="C34" s="347"/>
      <c r="D34" s="416"/>
      <c r="E34" s="426"/>
      <c r="G34">
        <v>0</v>
      </c>
      <c r="H34">
        <v>0</v>
      </c>
      <c r="J34" s="642">
        <f t="shared" si="2"/>
        <v>0</v>
      </c>
      <c r="K34" s="642">
        <f t="shared" si="3"/>
        <v>0</v>
      </c>
    </row>
    <row r="35" spans="1:11" ht="16.5" thickBot="1" x14ac:dyDescent="0.3">
      <c r="A35" s="444" t="s">
        <v>477</v>
      </c>
      <c r="B35" s="467"/>
      <c r="C35" s="531">
        <f>SUM(C23:C34)</f>
        <v>65374704.590000004</v>
      </c>
      <c r="D35" s="539"/>
      <c r="E35" s="530">
        <f>SUM(E23:E34)</f>
        <v>46905189.829999998</v>
      </c>
      <c r="G35">
        <v>65374705.27350001</v>
      </c>
      <c r="H35">
        <v>46905189.829999998</v>
      </c>
      <c r="J35" s="642">
        <f t="shared" si="2"/>
        <v>-0.6835000067949295</v>
      </c>
      <c r="K35" s="642">
        <f t="shared" si="3"/>
        <v>0</v>
      </c>
    </row>
    <row r="36" spans="1:11" ht="15.75" x14ac:dyDescent="0.25">
      <c r="A36" s="401"/>
      <c r="B36" s="707"/>
      <c r="C36" s="347"/>
      <c r="D36" s="416"/>
      <c r="E36" s="426"/>
      <c r="G36">
        <v>0</v>
      </c>
      <c r="H36">
        <v>0</v>
      </c>
      <c r="J36" s="642">
        <f t="shared" si="2"/>
        <v>0</v>
      </c>
      <c r="K36" s="642">
        <f t="shared" si="3"/>
        <v>0</v>
      </c>
    </row>
    <row r="37" spans="1:11" ht="16.5" thickBot="1" x14ac:dyDescent="0.3">
      <c r="A37" s="424" t="s">
        <v>657</v>
      </c>
      <c r="B37" s="423"/>
      <c r="C37" s="428">
        <f>+C19-C35</f>
        <v>-10679103.590000004</v>
      </c>
      <c r="D37" s="427"/>
      <c r="E37" s="429">
        <f>+E19-E35</f>
        <v>8369645.7700000033</v>
      </c>
      <c r="G37">
        <v>-10679104.273500007</v>
      </c>
      <c r="H37">
        <v>8369645.7700000051</v>
      </c>
    </row>
    <row r="38" spans="1:11" ht="15.75" x14ac:dyDescent="0.25">
      <c r="A38" s="465"/>
      <c r="B38" s="11"/>
      <c r="C38" s="437"/>
      <c r="D38" s="416"/>
      <c r="E38" s="466"/>
      <c r="H38" s="627"/>
    </row>
    <row r="39" spans="1:11" s="214" customFormat="1" ht="15.75" x14ac:dyDescent="0.25">
      <c r="A39" s="11" t="s">
        <v>589</v>
      </c>
      <c r="B39" s="17"/>
      <c r="C39" s="430"/>
      <c r="D39" s="416"/>
      <c r="E39" s="416"/>
      <c r="G39"/>
      <c r="H39"/>
      <c r="I39"/>
      <c r="J39"/>
      <c r="K39"/>
    </row>
    <row r="40" spans="1:11" s="214" customFormat="1" ht="14.25" x14ac:dyDescent="0.2">
      <c r="B40" s="770" t="s">
        <v>546</v>
      </c>
      <c r="C40" s="770"/>
      <c r="D40" s="770"/>
      <c r="E40" s="770"/>
    </row>
    <row r="41" spans="1:11" s="214" customFormat="1" ht="15.75" x14ac:dyDescent="0.25">
      <c r="A41" s="11" t="s">
        <v>552</v>
      </c>
      <c r="B41" s="765" t="s">
        <v>631</v>
      </c>
      <c r="C41" s="765"/>
      <c r="D41" s="765"/>
      <c r="E41" s="765"/>
    </row>
    <row r="42" spans="1:11" s="214" customFormat="1" ht="15.75" x14ac:dyDescent="0.25">
      <c r="A42" s="11"/>
      <c r="B42" s="12"/>
      <c r="C42" s="239"/>
      <c r="D42" s="419"/>
      <c r="E42" s="239"/>
    </row>
    <row r="43" spans="1:11" s="214" customFormat="1" ht="15.75" x14ac:dyDescent="0.25">
      <c r="A43" s="11"/>
      <c r="B43" s="12"/>
      <c r="C43" s="239"/>
      <c r="D43" s="431"/>
      <c r="E43" s="239"/>
    </row>
    <row r="44" spans="1:11" s="90" customFormat="1" ht="15.75" x14ac:dyDescent="0.25">
      <c r="A44" s="348" t="s">
        <v>681</v>
      </c>
      <c r="B44" s="761" t="s">
        <v>682</v>
      </c>
      <c r="C44" s="761"/>
      <c r="D44" s="761"/>
      <c r="E44" s="761"/>
      <c r="F44" s="15"/>
    </row>
    <row r="45" spans="1:11" s="90" customFormat="1" ht="15.75" x14ac:dyDescent="0.25">
      <c r="A45" s="177" t="s">
        <v>416</v>
      </c>
      <c r="B45" s="761" t="s">
        <v>671</v>
      </c>
      <c r="C45" s="761"/>
      <c r="D45" s="761"/>
      <c r="E45" s="761"/>
    </row>
    <row r="46" spans="1:11" s="90" customFormat="1" ht="15.75" x14ac:dyDescent="0.25">
      <c r="A46" s="11" t="s">
        <v>684</v>
      </c>
      <c r="B46" s="12"/>
      <c r="C46" s="13"/>
      <c r="D46" s="14"/>
      <c r="E46" s="14"/>
    </row>
    <row r="47" spans="1:11" s="90" customFormat="1" ht="15.75" x14ac:dyDescent="0.25">
      <c r="A47" s="11"/>
      <c r="B47" s="12"/>
      <c r="C47" s="11"/>
      <c r="D47" s="11"/>
      <c r="E47" s="11"/>
    </row>
    <row r="48" spans="1:11" s="90" customFormat="1" ht="15.75" x14ac:dyDescent="0.25">
      <c r="A48" s="11"/>
      <c r="B48" s="11"/>
      <c r="C48" s="11"/>
      <c r="D48" s="11"/>
      <c r="E48" s="11"/>
    </row>
    <row r="49" spans="1:6" s="90" customFormat="1" ht="15.75" x14ac:dyDescent="0.25">
      <c r="A49" s="11"/>
      <c r="B49" s="762" t="s">
        <v>683</v>
      </c>
      <c r="C49" s="762"/>
      <c r="D49" s="762"/>
      <c r="E49" s="762"/>
    </row>
    <row r="50" spans="1:6" s="90" customFormat="1" ht="15.75" x14ac:dyDescent="0.25">
      <c r="A50" s="11"/>
      <c r="B50" s="763" t="s">
        <v>621</v>
      </c>
      <c r="C50" s="763"/>
      <c r="D50" s="763"/>
      <c r="E50" s="763"/>
    </row>
    <row r="51" spans="1:6" s="90" customFormat="1" ht="15.75" x14ac:dyDescent="0.25">
      <c r="A51" s="348" t="s">
        <v>686</v>
      </c>
      <c r="B51" s="11"/>
      <c r="C51" s="11"/>
      <c r="D51" s="11"/>
      <c r="E51" s="11"/>
    </row>
    <row r="52" spans="1:6" s="90" customFormat="1" ht="15.75" x14ac:dyDescent="0.25">
      <c r="A52" s="148" t="s">
        <v>687</v>
      </c>
      <c r="B52" s="11"/>
      <c r="C52" s="11"/>
      <c r="D52" s="11"/>
      <c r="E52" s="11"/>
    </row>
    <row r="53" spans="1:6" s="90" customFormat="1" ht="15.75" x14ac:dyDescent="0.25">
      <c r="A53" s="11" t="s">
        <v>688</v>
      </c>
      <c r="B53" s="11"/>
      <c r="C53" s="11"/>
      <c r="D53" s="11"/>
      <c r="E53" s="11"/>
    </row>
    <row r="54" spans="1:6" s="90" customFormat="1" ht="15.75" x14ac:dyDescent="0.25">
      <c r="A54" s="148" t="s">
        <v>419</v>
      </c>
      <c r="B54" s="764" t="s">
        <v>685</v>
      </c>
      <c r="C54" s="764"/>
      <c r="D54" s="764"/>
      <c r="E54" s="764"/>
      <c r="F54" s="16"/>
    </row>
    <row r="55" spans="1:6" s="90" customFormat="1" ht="15.75" x14ac:dyDescent="0.25">
      <c r="A55" s="148" t="s">
        <v>690</v>
      </c>
      <c r="B55" s="748" t="s">
        <v>622</v>
      </c>
      <c r="C55" s="748"/>
      <c r="D55" s="748"/>
      <c r="E55" s="748"/>
      <c r="F55" s="16"/>
    </row>
    <row r="56" spans="1:6" ht="15.75" x14ac:dyDescent="0.25">
      <c r="A56" s="11"/>
      <c r="B56" s="11"/>
      <c r="C56" s="239"/>
      <c r="D56" s="239"/>
      <c r="E56" s="239"/>
    </row>
    <row r="57" spans="1:6" ht="15.75" x14ac:dyDescent="0.25">
      <c r="A57" s="11"/>
      <c r="B57" s="11"/>
      <c r="C57" s="239"/>
      <c r="D57" s="239"/>
      <c r="E57" s="239"/>
    </row>
    <row r="58" spans="1:6" ht="15.75" x14ac:dyDescent="0.25">
      <c r="A58" s="11"/>
      <c r="B58" s="11"/>
      <c r="C58" s="239"/>
      <c r="D58" s="239"/>
      <c r="E58" s="239"/>
    </row>
    <row r="59" spans="1:6" ht="15.75" x14ac:dyDescent="0.25">
      <c r="A59" s="11"/>
      <c r="B59" s="11"/>
      <c r="C59" s="239"/>
      <c r="D59" s="239"/>
      <c r="E59" s="239"/>
    </row>
    <row r="60" spans="1:6" ht="15.75" x14ac:dyDescent="0.25">
      <c r="A60" s="11"/>
      <c r="B60" s="11"/>
      <c r="C60" s="239"/>
      <c r="D60" s="239"/>
      <c r="E60" s="239"/>
    </row>
    <row r="61" spans="1:6" ht="15.75" x14ac:dyDescent="0.25">
      <c r="A61" s="11"/>
      <c r="B61" s="11"/>
      <c r="C61" s="239"/>
      <c r="D61" s="239"/>
      <c r="E61" s="239"/>
    </row>
    <row r="62" spans="1:6" ht="15.75" x14ac:dyDescent="0.25">
      <c r="A62" s="11"/>
      <c r="B62" s="11"/>
      <c r="C62" s="239"/>
      <c r="D62" s="239"/>
      <c r="E62" s="239"/>
    </row>
    <row r="63" spans="1:6" ht="15.75" x14ac:dyDescent="0.25">
      <c r="A63" s="11"/>
      <c r="B63" s="11"/>
      <c r="C63" s="239"/>
      <c r="D63" s="239"/>
      <c r="E63" s="239"/>
    </row>
    <row r="64" spans="1:6" ht="15.75" x14ac:dyDescent="0.25">
      <c r="A64" s="11"/>
      <c r="B64" s="11"/>
      <c r="C64" s="239"/>
      <c r="D64" s="239"/>
      <c r="E64" s="239"/>
    </row>
    <row r="65" spans="1:5" ht="15.75" x14ac:dyDescent="0.25">
      <c r="A65" s="11"/>
      <c r="B65" s="11"/>
      <c r="C65" s="239"/>
      <c r="D65" s="239"/>
      <c r="E65" s="239"/>
    </row>
    <row r="66" spans="1:5" ht="15.75" x14ac:dyDescent="0.25">
      <c r="A66" s="11"/>
      <c r="B66" s="11"/>
      <c r="C66" s="239"/>
      <c r="D66" s="239"/>
      <c r="E66" s="239"/>
    </row>
    <row r="67" spans="1:5" ht="15.75" x14ac:dyDescent="0.25">
      <c r="A67" s="11"/>
      <c r="B67" s="11"/>
      <c r="C67" s="239"/>
      <c r="D67" s="239"/>
      <c r="E67" s="239"/>
    </row>
    <row r="68" spans="1:5" ht="15.75" x14ac:dyDescent="0.25">
      <c r="A68" s="11"/>
      <c r="B68" s="11"/>
      <c r="C68" s="239"/>
      <c r="D68" s="239"/>
      <c r="E68" s="239"/>
    </row>
    <row r="69" spans="1:5" ht="15.75" x14ac:dyDescent="0.25">
      <c r="A69" s="11"/>
      <c r="B69" s="11"/>
      <c r="C69" s="239"/>
      <c r="D69" s="239"/>
      <c r="E69" s="239"/>
    </row>
    <row r="70" spans="1:5" ht="15.75" x14ac:dyDescent="0.25">
      <c r="A70" s="11"/>
      <c r="B70" s="11"/>
      <c r="C70" s="239"/>
      <c r="D70" s="239"/>
      <c r="E70" s="239"/>
    </row>
    <row r="71" spans="1:5" ht="15.75" x14ac:dyDescent="0.25">
      <c r="A71" s="11"/>
      <c r="B71" s="11"/>
      <c r="C71" s="239"/>
      <c r="D71" s="239"/>
      <c r="E71" s="239"/>
    </row>
    <row r="72" spans="1:5" ht="15.75" x14ac:dyDescent="0.25">
      <c r="A72" s="11"/>
      <c r="B72" s="11"/>
      <c r="C72" s="239"/>
      <c r="D72" s="239"/>
      <c r="E72" s="239"/>
    </row>
    <row r="73" spans="1:5" ht="15.75" x14ac:dyDescent="0.25">
      <c r="A73" s="11"/>
      <c r="B73" s="11"/>
      <c r="C73" s="239"/>
      <c r="D73" s="239"/>
      <c r="E73" s="239"/>
    </row>
    <row r="74" spans="1:5" ht="15.75" x14ac:dyDescent="0.25">
      <c r="A74" s="11"/>
      <c r="B74" s="11"/>
      <c r="C74" s="239"/>
      <c r="D74" s="239"/>
      <c r="E74" s="239"/>
    </row>
    <row r="75" spans="1:5" ht="15.75" x14ac:dyDescent="0.25">
      <c r="A75" s="11"/>
      <c r="B75" s="11"/>
      <c r="C75" s="239"/>
      <c r="D75" s="239"/>
      <c r="E75" s="239"/>
    </row>
    <row r="76" spans="1:5" ht="15.75" x14ac:dyDescent="0.25">
      <c r="A76" s="11"/>
      <c r="B76" s="11"/>
      <c r="C76" s="239"/>
      <c r="D76" s="239"/>
      <c r="E76" s="239"/>
    </row>
    <row r="77" spans="1:5" ht="15.75" x14ac:dyDescent="0.25">
      <c r="A77" s="11"/>
      <c r="B77" s="11"/>
      <c r="C77" s="239"/>
      <c r="D77" s="239"/>
      <c r="E77" s="239"/>
    </row>
    <row r="78" spans="1:5" ht="15.75" x14ac:dyDescent="0.25">
      <c r="A78" s="11"/>
      <c r="B78" s="11"/>
      <c r="C78" s="239"/>
      <c r="D78" s="239"/>
      <c r="E78" s="239"/>
    </row>
    <row r="79" spans="1:5" ht="15.75" x14ac:dyDescent="0.25">
      <c r="A79" s="11"/>
      <c r="B79" s="11"/>
      <c r="C79" s="239"/>
      <c r="D79" s="239"/>
      <c r="E79" s="239"/>
    </row>
    <row r="80" spans="1:5" ht="15.75" x14ac:dyDescent="0.25">
      <c r="A80" s="11"/>
      <c r="B80" s="11"/>
      <c r="C80" s="239"/>
      <c r="D80" s="239"/>
      <c r="E80" s="239"/>
    </row>
    <row r="81" spans="1:5" ht="15.75" x14ac:dyDescent="0.25">
      <c r="A81" s="11"/>
      <c r="B81" s="11"/>
      <c r="C81" s="239"/>
      <c r="D81" s="239"/>
      <c r="E81" s="239"/>
    </row>
    <row r="82" spans="1:5" ht="15.75" x14ac:dyDescent="0.25">
      <c r="A82" s="11"/>
      <c r="B82" s="11"/>
      <c r="C82" s="239"/>
      <c r="D82" s="239"/>
      <c r="E82" s="239"/>
    </row>
    <row r="83" spans="1:5" ht="15.75" x14ac:dyDescent="0.25">
      <c r="A83" s="11"/>
      <c r="B83" s="11"/>
      <c r="C83" s="239"/>
      <c r="D83" s="239"/>
      <c r="E83" s="239"/>
    </row>
    <row r="84" spans="1:5" ht="15.75" x14ac:dyDescent="0.25">
      <c r="A84" s="11"/>
      <c r="B84" s="11"/>
      <c r="C84" s="239"/>
      <c r="D84" s="239"/>
      <c r="E84" s="239"/>
    </row>
    <row r="85" spans="1:5" ht="15.75" x14ac:dyDescent="0.25">
      <c r="A85" s="11"/>
      <c r="B85" s="11"/>
      <c r="C85" s="239"/>
      <c r="D85" s="239"/>
      <c r="E85" s="239"/>
    </row>
    <row r="86" spans="1:5" ht="15.75" x14ac:dyDescent="0.25">
      <c r="A86" s="11"/>
      <c r="B86" s="11"/>
      <c r="C86" s="239"/>
      <c r="D86" s="239"/>
      <c r="E86" s="239"/>
    </row>
    <row r="87" spans="1:5" ht="15.75" x14ac:dyDescent="0.25">
      <c r="A87" s="11"/>
      <c r="B87" s="11"/>
      <c r="C87" s="239"/>
      <c r="D87" s="239"/>
      <c r="E87" s="239"/>
    </row>
    <row r="88" spans="1:5" ht="15.75" x14ac:dyDescent="0.25">
      <c r="A88" s="11"/>
      <c r="B88" s="11"/>
      <c r="C88" s="239"/>
      <c r="D88" s="239"/>
      <c r="E88" s="239"/>
    </row>
    <row r="89" spans="1:5" ht="15.75" x14ac:dyDescent="0.25">
      <c r="A89" s="11"/>
      <c r="B89" s="11"/>
      <c r="C89" s="239"/>
      <c r="D89" s="239"/>
      <c r="E89" s="239"/>
    </row>
    <row r="90" spans="1:5" ht="15.75" x14ac:dyDescent="0.25">
      <c r="A90" s="11"/>
      <c r="B90" s="11"/>
      <c r="C90" s="239"/>
      <c r="D90" s="239"/>
      <c r="E90" s="239"/>
    </row>
    <row r="91" spans="1:5" ht="15.75" x14ac:dyDescent="0.25">
      <c r="A91" s="11"/>
      <c r="B91" s="11"/>
      <c r="C91" s="239"/>
      <c r="D91" s="239"/>
      <c r="E91" s="239"/>
    </row>
    <row r="92" spans="1:5" ht="15.75" x14ac:dyDescent="0.25">
      <c r="A92" s="11"/>
      <c r="B92" s="11"/>
      <c r="C92" s="239"/>
      <c r="D92" s="239"/>
      <c r="E92" s="239"/>
    </row>
    <row r="93" spans="1:5" ht="15.75" x14ac:dyDescent="0.25">
      <c r="A93" s="11"/>
      <c r="B93" s="11"/>
      <c r="C93" s="239"/>
      <c r="D93" s="239"/>
      <c r="E93" s="239"/>
    </row>
    <row r="94" spans="1:5" ht="15.75" x14ac:dyDescent="0.25">
      <c r="A94" s="11"/>
      <c r="B94" s="11"/>
      <c r="C94" s="239"/>
      <c r="D94" s="239"/>
      <c r="E94" s="239"/>
    </row>
    <row r="95" spans="1:5" ht="15.75" x14ac:dyDescent="0.25">
      <c r="A95" s="11"/>
      <c r="B95" s="11"/>
      <c r="C95" s="239"/>
      <c r="D95" s="239"/>
      <c r="E95" s="239"/>
    </row>
    <row r="96" spans="1:5" ht="15.75" x14ac:dyDescent="0.25">
      <c r="A96" s="11"/>
      <c r="B96" s="11"/>
      <c r="C96" s="239"/>
      <c r="D96" s="239"/>
      <c r="E96" s="239"/>
    </row>
    <row r="97" spans="1:5" ht="15.75" x14ac:dyDescent="0.25">
      <c r="A97" s="11"/>
      <c r="B97" s="11"/>
      <c r="C97" s="239"/>
      <c r="D97" s="239"/>
      <c r="E97" s="239"/>
    </row>
    <row r="98" spans="1:5" ht="15.75" x14ac:dyDescent="0.25">
      <c r="A98" s="11"/>
      <c r="B98" s="11"/>
      <c r="C98" s="239"/>
      <c r="D98" s="239"/>
      <c r="E98" s="239"/>
    </row>
    <row r="99" spans="1:5" ht="15.75" x14ac:dyDescent="0.25">
      <c r="A99" s="11"/>
      <c r="B99" s="11"/>
      <c r="C99" s="239"/>
      <c r="D99" s="239"/>
      <c r="E99" s="239"/>
    </row>
    <row r="100" spans="1:5" ht="15.75" x14ac:dyDescent="0.25">
      <c r="A100" s="11"/>
      <c r="B100" s="11"/>
      <c r="C100" s="239"/>
      <c r="D100" s="239"/>
      <c r="E100" s="239"/>
    </row>
    <row r="101" spans="1:5" ht="15.75" x14ac:dyDescent="0.25">
      <c r="A101" s="11"/>
      <c r="B101" s="11"/>
      <c r="C101" s="239"/>
      <c r="D101" s="239"/>
      <c r="E101" s="239"/>
    </row>
    <row r="102" spans="1:5" ht="15.75" x14ac:dyDescent="0.25">
      <c r="A102" s="11"/>
      <c r="B102" s="11"/>
      <c r="C102" s="239"/>
      <c r="D102" s="239"/>
      <c r="E102" s="239"/>
    </row>
    <row r="103" spans="1:5" ht="15.75" x14ac:dyDescent="0.25">
      <c r="A103" s="11"/>
      <c r="B103" s="11"/>
      <c r="C103" s="239"/>
      <c r="D103" s="239"/>
      <c r="E103" s="239"/>
    </row>
    <row r="104" spans="1:5" ht="15.75" x14ac:dyDescent="0.25">
      <c r="A104" s="11"/>
      <c r="B104" s="11"/>
      <c r="C104" s="239"/>
      <c r="D104" s="239"/>
      <c r="E104" s="239"/>
    </row>
    <row r="105" spans="1:5" ht="15.75" x14ac:dyDescent="0.25">
      <c r="A105" s="11"/>
      <c r="B105" s="11"/>
      <c r="C105" s="239"/>
      <c r="D105" s="239"/>
      <c r="E105" s="239"/>
    </row>
    <row r="106" spans="1:5" ht="15.75" x14ac:dyDescent="0.25">
      <c r="A106" s="11"/>
      <c r="B106" s="11"/>
      <c r="C106" s="239"/>
      <c r="D106" s="239"/>
      <c r="E106" s="239"/>
    </row>
    <row r="107" spans="1:5" ht="15.75" x14ac:dyDescent="0.25">
      <c r="A107" s="11"/>
      <c r="B107" s="11"/>
      <c r="C107" s="239"/>
      <c r="D107" s="239"/>
      <c r="E107" s="239"/>
    </row>
    <row r="108" spans="1:5" ht="15.75" x14ac:dyDescent="0.25">
      <c r="A108" s="11"/>
      <c r="B108" s="11"/>
      <c r="C108" s="239"/>
      <c r="D108" s="239"/>
      <c r="E108" s="239"/>
    </row>
    <row r="109" spans="1:5" ht="15.75" x14ac:dyDescent="0.25">
      <c r="A109" s="11"/>
      <c r="B109" s="11"/>
      <c r="C109" s="239"/>
      <c r="D109" s="239"/>
      <c r="E109" s="239"/>
    </row>
    <row r="110" spans="1:5" ht="15.75" x14ac:dyDescent="0.25">
      <c r="A110" s="11"/>
      <c r="B110" s="11"/>
      <c r="C110" s="239"/>
      <c r="D110" s="239"/>
      <c r="E110" s="239"/>
    </row>
    <row r="111" spans="1:5" ht="15.75" x14ac:dyDescent="0.25">
      <c r="A111" s="11"/>
      <c r="B111" s="11"/>
      <c r="C111" s="239"/>
      <c r="D111" s="239"/>
      <c r="E111" s="239"/>
    </row>
    <row r="112" spans="1:5" ht="15.75" x14ac:dyDescent="0.25">
      <c r="A112" s="11"/>
      <c r="B112" s="11"/>
      <c r="C112" s="239"/>
      <c r="D112" s="239"/>
      <c r="E112" s="239"/>
    </row>
  </sheetData>
  <mergeCells count="13">
    <mergeCell ref="A1:E1"/>
    <mergeCell ref="A3:E3"/>
    <mergeCell ref="A5:A8"/>
    <mergeCell ref="B5:B8"/>
    <mergeCell ref="B40:E40"/>
    <mergeCell ref="B50:E50"/>
    <mergeCell ref="B54:E54"/>
    <mergeCell ref="B55:E55"/>
    <mergeCell ref="B41:E41"/>
    <mergeCell ref="A2:E2"/>
    <mergeCell ref="B44:E44"/>
    <mergeCell ref="B45:E45"/>
    <mergeCell ref="B49:E49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2"/>
  <sheetViews>
    <sheetView workbookViewId="0">
      <selection activeCell="A15" sqref="A15"/>
    </sheetView>
  </sheetViews>
  <sheetFormatPr defaultRowHeight="12.75" x14ac:dyDescent="0.2"/>
  <cols>
    <col min="1" max="1" width="34.7109375" bestFit="1" customWidth="1"/>
    <col min="2" max="2" width="9.7109375" bestFit="1" customWidth="1"/>
    <col min="3" max="3" width="9.85546875" bestFit="1" customWidth="1"/>
    <col min="4" max="4" width="9.28515625" bestFit="1" customWidth="1"/>
  </cols>
  <sheetData>
    <row r="2" spans="1:3" x14ac:dyDescent="0.2">
      <c r="A2" t="s">
        <v>293</v>
      </c>
    </row>
    <row r="4" spans="1:3" x14ac:dyDescent="0.2">
      <c r="A4" s="55" t="s">
        <v>278</v>
      </c>
    </row>
    <row r="6" spans="1:3" x14ac:dyDescent="0.2">
      <c r="A6" s="55" t="s">
        <v>279</v>
      </c>
    </row>
    <row r="8" spans="1:3" x14ac:dyDescent="0.2">
      <c r="A8" t="s">
        <v>280</v>
      </c>
      <c r="C8" s="107">
        <f>PL!D27</f>
        <v>0</v>
      </c>
    </row>
    <row r="10" spans="1:3" x14ac:dyDescent="0.2">
      <c r="A10" t="s">
        <v>281</v>
      </c>
    </row>
    <row r="11" spans="1:3" x14ac:dyDescent="0.2">
      <c r="A11" s="55" t="s">
        <v>282</v>
      </c>
    </row>
    <row r="12" spans="1:3" x14ac:dyDescent="0.2">
      <c r="A12" t="s">
        <v>284</v>
      </c>
      <c r="B12" s="10">
        <f>PL!D21</f>
        <v>0</v>
      </c>
    </row>
    <row r="13" spans="1:3" x14ac:dyDescent="0.2">
      <c r="A13" t="s">
        <v>283</v>
      </c>
      <c r="B13" s="10">
        <f>PL!D22</f>
        <v>0</v>
      </c>
    </row>
    <row r="14" spans="1:3" x14ac:dyDescent="0.2">
      <c r="A14" t="s">
        <v>255</v>
      </c>
      <c r="B14">
        <f>30000</f>
        <v>30000</v>
      </c>
    </row>
    <row r="15" spans="1:3" x14ac:dyDescent="0.2">
      <c r="A15" t="s">
        <v>302</v>
      </c>
    </row>
    <row r="16" spans="1:3" x14ac:dyDescent="0.2">
      <c r="C16" s="137">
        <f>SUM(B12:B15)</f>
        <v>30000</v>
      </c>
    </row>
    <row r="17" spans="1:4" x14ac:dyDescent="0.2">
      <c r="C17" s="10">
        <f>SUM(C8:C16)</f>
        <v>30000</v>
      </c>
    </row>
    <row r="19" spans="1:4" x14ac:dyDescent="0.2">
      <c r="A19" t="s">
        <v>285</v>
      </c>
    </row>
    <row r="20" spans="1:4" x14ac:dyDescent="0.2">
      <c r="A20" t="s">
        <v>286</v>
      </c>
    </row>
    <row r="21" spans="1:4" x14ac:dyDescent="0.2">
      <c r="A21" t="s">
        <v>287</v>
      </c>
      <c r="C21" s="10">
        <f>'Depreciation as per IT'!J22</f>
        <v>343833.55</v>
      </c>
    </row>
    <row r="23" spans="1:4" x14ac:dyDescent="0.2">
      <c r="A23" s="55" t="s">
        <v>288</v>
      </c>
      <c r="C23" s="113">
        <f>C17-C21</f>
        <v>-313833.55</v>
      </c>
    </row>
    <row r="25" spans="1:4" x14ac:dyDescent="0.2">
      <c r="A25" t="s">
        <v>289</v>
      </c>
      <c r="C25" s="107">
        <f>C23*33.66%</f>
        <v>-105636.37292999998</v>
      </c>
    </row>
    <row r="28" spans="1:4" x14ac:dyDescent="0.2">
      <c r="A28" s="55" t="s">
        <v>290</v>
      </c>
    </row>
    <row r="29" spans="1:4" x14ac:dyDescent="0.2">
      <c r="A29" t="s">
        <v>291</v>
      </c>
    </row>
    <row r="30" spans="1:4" x14ac:dyDescent="0.2">
      <c r="A30" s="55" t="s">
        <v>292</v>
      </c>
      <c r="D30" s="107">
        <f>PL!D22</f>
        <v>0</v>
      </c>
    </row>
    <row r="33" spans="1:3" x14ac:dyDescent="0.2">
      <c r="A33" s="55" t="s">
        <v>294</v>
      </c>
    </row>
    <row r="35" spans="1:3" ht="15.75" x14ac:dyDescent="0.25">
      <c r="A35" s="12" t="s">
        <v>21</v>
      </c>
      <c r="B35" s="103">
        <v>12927</v>
      </c>
      <c r="C35" s="139">
        <f>B35*5%</f>
        <v>646.35</v>
      </c>
    </row>
    <row r="36" spans="1:3" ht="15.75" x14ac:dyDescent="0.25">
      <c r="A36" s="12" t="s">
        <v>22</v>
      </c>
      <c r="B36" s="103">
        <f>8020</f>
        <v>8020</v>
      </c>
      <c r="C36" s="14">
        <f>B36*20%</f>
        <v>1604</v>
      </c>
    </row>
    <row r="37" spans="1:3" ht="15.75" x14ac:dyDescent="0.25">
      <c r="A37" s="12" t="s">
        <v>46</v>
      </c>
      <c r="B37" s="103">
        <f>6790</f>
        <v>6790</v>
      </c>
      <c r="C37" s="14">
        <f>B37*20%</f>
        <v>1358</v>
      </c>
    </row>
    <row r="38" spans="1:3" ht="15.75" x14ac:dyDescent="0.25">
      <c r="A38" s="12" t="s">
        <v>18</v>
      </c>
      <c r="B38" s="103">
        <f>92631</f>
        <v>92631</v>
      </c>
      <c r="C38" s="14">
        <f>B38*20%</f>
        <v>18526.2</v>
      </c>
    </row>
    <row r="39" spans="1:3" ht="15.75" x14ac:dyDescent="0.25">
      <c r="A39" s="12" t="s">
        <v>295</v>
      </c>
      <c r="B39" s="53">
        <f>19704</f>
        <v>19704</v>
      </c>
      <c r="C39" s="14">
        <f>B39*20%</f>
        <v>3940.8</v>
      </c>
    </row>
    <row r="41" spans="1:3" ht="15.75" x14ac:dyDescent="0.25">
      <c r="A41" s="16" t="s">
        <v>300</v>
      </c>
      <c r="B41" s="57">
        <f>SUM(B35:B39)</f>
        <v>140072</v>
      </c>
    </row>
    <row r="42" spans="1:3" x14ac:dyDescent="0.2">
      <c r="A42" s="55" t="s">
        <v>296</v>
      </c>
      <c r="C42" s="107">
        <f>SUM(C35:C39)</f>
        <v>26075.35</v>
      </c>
    </row>
    <row r="44" spans="1:3" x14ac:dyDescent="0.2">
      <c r="A44" s="55" t="s">
        <v>297</v>
      </c>
      <c r="B44" s="107"/>
      <c r="C44" s="107">
        <f>C42*33.66%</f>
        <v>8776.9628099999991</v>
      </c>
    </row>
    <row r="46" spans="1:3" x14ac:dyDescent="0.2">
      <c r="A46" s="55" t="s">
        <v>298</v>
      </c>
      <c r="B46" s="10"/>
    </row>
    <row r="47" spans="1:3" x14ac:dyDescent="0.2">
      <c r="A47" t="s">
        <v>299</v>
      </c>
      <c r="B47" s="10">
        <f>C25</f>
        <v>-105636.37292999998</v>
      </c>
    </row>
    <row r="48" spans="1:3" x14ac:dyDescent="0.2">
      <c r="A48" t="s">
        <v>276</v>
      </c>
      <c r="B48" s="10">
        <f>C44</f>
        <v>8776.9628099999991</v>
      </c>
    </row>
    <row r="50" spans="1:2" x14ac:dyDescent="0.2">
      <c r="B50" s="107">
        <f>SUM(B47:B49)</f>
        <v>-96859.410119999986</v>
      </c>
    </row>
    <row r="51" spans="1:2" x14ac:dyDescent="0.2">
      <c r="B51">
        <v>3067</v>
      </c>
    </row>
    <row r="52" spans="1:2" x14ac:dyDescent="0.2">
      <c r="A52" s="55" t="s">
        <v>301</v>
      </c>
      <c r="B52" s="107">
        <f>SUM(B50:B51)</f>
        <v>-93792.410119999986</v>
      </c>
    </row>
  </sheetData>
  <phoneticPr fontId="0" type="noConversion"/>
  <pageMargins left="0.75" right="0.75" top="1" bottom="1" header="0.5" footer="0.5"/>
  <pageSetup scale="9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selection activeCell="H42" sqref="H42"/>
    </sheetView>
  </sheetViews>
  <sheetFormatPr defaultColWidth="9.140625" defaultRowHeight="12.75" x14ac:dyDescent="0.2"/>
  <cols>
    <col min="1" max="1" width="6.5703125" style="63" customWidth="1"/>
    <col min="2" max="2" width="37.42578125" style="63" customWidth="1"/>
    <col min="3" max="3" width="15.42578125" style="63" hidden="1" customWidth="1"/>
    <col min="4" max="5" width="14.85546875" style="63" customWidth="1"/>
    <col min="6" max="6" width="20.140625" style="63" customWidth="1"/>
    <col min="7" max="7" width="15.42578125" style="63" customWidth="1"/>
    <col min="8" max="8" width="32.7109375" style="63" bestFit="1" customWidth="1"/>
    <col min="9" max="16384" width="9.140625" style="63"/>
  </cols>
  <sheetData>
    <row r="1" spans="1:8" x14ac:dyDescent="0.2">
      <c r="B1" s="44" t="s">
        <v>132</v>
      </c>
    </row>
    <row r="3" spans="1:8" x14ac:dyDescent="0.2">
      <c r="B3" s="55" t="s">
        <v>414</v>
      </c>
    </row>
    <row r="4" spans="1:8" x14ac:dyDescent="0.2">
      <c r="B4" s="55"/>
    </row>
    <row r="5" spans="1:8" x14ac:dyDescent="0.2">
      <c r="B5" s="44" t="s">
        <v>403</v>
      </c>
      <c r="C5" s="44"/>
      <c r="D5" s="44"/>
      <c r="E5" s="44"/>
      <c r="F5" s="44"/>
      <c r="G5" s="44"/>
    </row>
    <row r="6" spans="1:8" x14ac:dyDescent="0.2">
      <c r="B6" s="44"/>
      <c r="C6" s="44"/>
      <c r="D6" s="44"/>
      <c r="E6" s="44"/>
      <c r="F6" s="44"/>
      <c r="G6" s="44"/>
    </row>
    <row r="8" spans="1:8" x14ac:dyDescent="0.2">
      <c r="A8" s="46" t="s">
        <v>304</v>
      </c>
      <c r="B8" s="46" t="s">
        <v>305</v>
      </c>
      <c r="C8" s="46" t="s">
        <v>306</v>
      </c>
      <c r="D8" s="46" t="s">
        <v>307</v>
      </c>
      <c r="E8" s="46" t="s">
        <v>307</v>
      </c>
      <c r="F8" s="46" t="s">
        <v>308</v>
      </c>
      <c r="G8" s="46" t="s">
        <v>309</v>
      </c>
      <c r="H8" s="46" t="s">
        <v>310</v>
      </c>
    </row>
    <row r="9" spans="1:8" x14ac:dyDescent="0.2">
      <c r="A9" s="98"/>
      <c r="B9" s="98" t="s">
        <v>311</v>
      </c>
      <c r="C9" s="98" t="s">
        <v>312</v>
      </c>
      <c r="D9" s="98" t="s">
        <v>313</v>
      </c>
      <c r="E9" s="98" t="s">
        <v>313</v>
      </c>
      <c r="F9" s="98" t="s">
        <v>314</v>
      </c>
      <c r="G9" s="98" t="s">
        <v>315</v>
      </c>
      <c r="H9" s="98" t="s">
        <v>399</v>
      </c>
    </row>
    <row r="10" spans="1:8" x14ac:dyDescent="0.2">
      <c r="A10" s="98"/>
      <c r="B10" s="98"/>
      <c r="C10" s="98"/>
      <c r="D10" s="98" t="s">
        <v>316</v>
      </c>
      <c r="E10" s="98" t="s">
        <v>316</v>
      </c>
      <c r="F10" s="98" t="s">
        <v>317</v>
      </c>
      <c r="G10" s="98" t="s">
        <v>318</v>
      </c>
      <c r="H10" s="98" t="s">
        <v>398</v>
      </c>
    </row>
    <row r="11" spans="1:8" x14ac:dyDescent="0.2">
      <c r="A11" s="98"/>
      <c r="B11" s="98"/>
      <c r="C11" s="98"/>
      <c r="D11" s="98" t="s">
        <v>319</v>
      </c>
      <c r="E11" s="98" t="s">
        <v>397</v>
      </c>
      <c r="F11" s="98" t="s">
        <v>320</v>
      </c>
      <c r="G11" s="98" t="s">
        <v>321</v>
      </c>
      <c r="H11" s="98" t="s">
        <v>322</v>
      </c>
    </row>
    <row r="12" spans="1:8" x14ac:dyDescent="0.2">
      <c r="A12" s="98"/>
      <c r="B12" s="98"/>
      <c r="C12" s="98"/>
      <c r="D12" s="98" t="s">
        <v>323</v>
      </c>
      <c r="E12" s="98"/>
      <c r="F12" s="98"/>
      <c r="G12" s="98" t="s">
        <v>324</v>
      </c>
      <c r="H12" s="98" t="s">
        <v>325</v>
      </c>
    </row>
    <row r="13" spans="1:8" x14ac:dyDescent="0.2">
      <c r="A13" s="98"/>
      <c r="B13" s="98"/>
      <c r="C13" s="98"/>
      <c r="D13" s="98"/>
      <c r="E13" s="98"/>
      <c r="F13" s="98"/>
      <c r="G13" s="98" t="s">
        <v>326</v>
      </c>
      <c r="H13" s="98" t="s">
        <v>327</v>
      </c>
    </row>
    <row r="14" spans="1:8" x14ac:dyDescent="0.2">
      <c r="A14" s="48"/>
      <c r="B14" s="48"/>
      <c r="C14" s="48"/>
      <c r="D14" s="48"/>
      <c r="E14" s="48"/>
      <c r="F14" s="48"/>
      <c r="G14" s="48" t="s">
        <v>328</v>
      </c>
      <c r="H14" s="48"/>
    </row>
    <row r="16" spans="1:8" x14ac:dyDescent="0.2">
      <c r="A16" s="63">
        <v>1</v>
      </c>
      <c r="B16" s="63" t="s">
        <v>329</v>
      </c>
      <c r="C16" s="63" t="s">
        <v>330</v>
      </c>
      <c r="D16" s="150">
        <v>0</v>
      </c>
      <c r="E16" s="153">
        <v>2000000</v>
      </c>
      <c r="F16" s="152" t="s">
        <v>347</v>
      </c>
      <c r="G16" s="63">
        <v>2000000</v>
      </c>
      <c r="H16" s="152" t="s">
        <v>331</v>
      </c>
    </row>
    <row r="17" spans="1:8" x14ac:dyDescent="0.2">
      <c r="B17" s="63" t="s">
        <v>332</v>
      </c>
      <c r="E17" s="106"/>
    </row>
    <row r="18" spans="1:8" x14ac:dyDescent="0.2">
      <c r="B18" s="63" t="s">
        <v>333</v>
      </c>
      <c r="E18" s="106"/>
    </row>
    <row r="19" spans="1:8" x14ac:dyDescent="0.2">
      <c r="B19" s="63" t="s">
        <v>334</v>
      </c>
      <c r="E19" s="106"/>
    </row>
    <row r="20" spans="1:8" x14ac:dyDescent="0.2">
      <c r="B20" s="63" t="s">
        <v>335</v>
      </c>
      <c r="E20" s="106"/>
    </row>
    <row r="21" spans="1:8" x14ac:dyDescent="0.2">
      <c r="E21" s="106"/>
    </row>
    <row r="22" spans="1:8" x14ac:dyDescent="0.2">
      <c r="A22" s="63">
        <v>2</v>
      </c>
      <c r="B22" t="s">
        <v>336</v>
      </c>
      <c r="C22" s="60" t="s">
        <v>337</v>
      </c>
      <c r="D22" s="150">
        <v>0</v>
      </c>
      <c r="E22" s="153">
        <v>400000</v>
      </c>
      <c r="F22" s="152" t="s">
        <v>331</v>
      </c>
      <c r="G22" s="63">
        <v>1000000</v>
      </c>
      <c r="H22" s="152" t="s">
        <v>331</v>
      </c>
    </row>
    <row r="23" spans="1:8" x14ac:dyDescent="0.2">
      <c r="B23" t="s">
        <v>338</v>
      </c>
      <c r="C23" s="60"/>
      <c r="E23" s="106"/>
    </row>
    <row r="24" spans="1:8" x14ac:dyDescent="0.2">
      <c r="B24" t="s">
        <v>339</v>
      </c>
      <c r="C24" s="60"/>
      <c r="E24" s="106"/>
    </row>
    <row r="25" spans="1:8" x14ac:dyDescent="0.2">
      <c r="B25" t="s">
        <v>340</v>
      </c>
      <c r="C25" s="60" t="s">
        <v>0</v>
      </c>
      <c r="E25" s="106"/>
    </row>
    <row r="26" spans="1:8" x14ac:dyDescent="0.2">
      <c r="B26" t="s">
        <v>341</v>
      </c>
      <c r="C26" s="60"/>
      <c r="E26" s="106"/>
    </row>
    <row r="27" spans="1:8" x14ac:dyDescent="0.2">
      <c r="B27" t="s">
        <v>342</v>
      </c>
      <c r="C27" s="60"/>
      <c r="E27" s="106"/>
    </row>
    <row r="28" spans="1:8" x14ac:dyDescent="0.2">
      <c r="E28" s="106"/>
    </row>
    <row r="29" spans="1:8" x14ac:dyDescent="0.2">
      <c r="A29" s="63">
        <v>3</v>
      </c>
      <c r="B29" s="63" t="s">
        <v>343</v>
      </c>
      <c r="C29" s="63" t="s">
        <v>344</v>
      </c>
      <c r="D29" s="150">
        <v>0</v>
      </c>
      <c r="E29" s="150">
        <v>0</v>
      </c>
      <c r="F29" s="152" t="s">
        <v>331</v>
      </c>
      <c r="G29" s="63">
        <v>500000</v>
      </c>
      <c r="H29" s="152" t="s">
        <v>331</v>
      </c>
    </row>
    <row r="30" spans="1:8" x14ac:dyDescent="0.2">
      <c r="B30" s="63" t="s">
        <v>345</v>
      </c>
      <c r="E30" s="106"/>
    </row>
    <row r="31" spans="1:8" x14ac:dyDescent="0.2">
      <c r="B31" s="63" t="s">
        <v>346</v>
      </c>
      <c r="E31" s="106"/>
    </row>
    <row r="32" spans="1:8" x14ac:dyDescent="0.2">
      <c r="E32" s="106"/>
    </row>
    <row r="33" spans="1:8" x14ac:dyDescent="0.2">
      <c r="A33" s="63">
        <v>4</v>
      </c>
      <c r="B33" s="63" t="s">
        <v>404</v>
      </c>
      <c r="D33" s="63">
        <v>1005196</v>
      </c>
      <c r="E33" s="150">
        <v>0</v>
      </c>
      <c r="F33" s="152" t="s">
        <v>331</v>
      </c>
      <c r="G33" s="63">
        <v>1005196</v>
      </c>
      <c r="H33" s="152" t="s">
        <v>331</v>
      </c>
    </row>
    <row r="34" spans="1:8" x14ac:dyDescent="0.2">
      <c r="B34" s="63" t="s">
        <v>405</v>
      </c>
      <c r="E34" s="150"/>
      <c r="F34" s="152"/>
      <c r="H34" s="152"/>
    </row>
    <row r="35" spans="1:8" x14ac:dyDescent="0.2">
      <c r="E35" s="106"/>
    </row>
    <row r="36" spans="1:8" x14ac:dyDescent="0.2">
      <c r="A36" s="63">
        <v>5</v>
      </c>
      <c r="B36" s="63" t="s">
        <v>400</v>
      </c>
      <c r="D36" s="63">
        <f>1000000</f>
        <v>1000000</v>
      </c>
      <c r="E36" s="155">
        <v>0</v>
      </c>
      <c r="F36" s="152" t="s">
        <v>331</v>
      </c>
      <c r="G36" s="63">
        <f>1000000</f>
        <v>1000000</v>
      </c>
      <c r="H36" s="152" t="s">
        <v>331</v>
      </c>
    </row>
    <row r="37" spans="1:8" x14ac:dyDescent="0.2">
      <c r="B37" s="63" t="s">
        <v>405</v>
      </c>
      <c r="E37" s="155"/>
      <c r="F37" s="152"/>
      <c r="H37" s="152"/>
    </row>
    <row r="38" spans="1:8" x14ac:dyDescent="0.2">
      <c r="E38" s="106"/>
    </row>
    <row r="39" spans="1:8" x14ac:dyDescent="0.2">
      <c r="A39" s="63">
        <v>6</v>
      </c>
      <c r="B39" s="63" t="s">
        <v>401</v>
      </c>
      <c r="D39" s="63">
        <f>1554260</f>
        <v>1554260</v>
      </c>
      <c r="E39" s="63">
        <v>400000</v>
      </c>
      <c r="F39" s="152" t="s">
        <v>331</v>
      </c>
      <c r="G39" s="63">
        <f>2105010</f>
        <v>2105010</v>
      </c>
      <c r="H39" s="152" t="s">
        <v>331</v>
      </c>
    </row>
    <row r="40" spans="1:8" x14ac:dyDescent="0.2">
      <c r="B40" s="63" t="s">
        <v>405</v>
      </c>
      <c r="F40" s="152"/>
      <c r="H40" s="152"/>
    </row>
    <row r="42" spans="1:8" x14ac:dyDescent="0.2">
      <c r="A42" s="63">
        <v>7</v>
      </c>
      <c r="B42" s="63" t="s">
        <v>406</v>
      </c>
      <c r="D42" s="63">
        <f>5000000</f>
        <v>5000000</v>
      </c>
      <c r="E42" s="152" t="s">
        <v>331</v>
      </c>
      <c r="F42" s="152" t="s">
        <v>331</v>
      </c>
      <c r="G42" s="63">
        <f>5000000</f>
        <v>5000000</v>
      </c>
      <c r="H42" s="152" t="s">
        <v>331</v>
      </c>
    </row>
    <row r="43" spans="1:8" x14ac:dyDescent="0.2">
      <c r="B43" s="63" t="s">
        <v>405</v>
      </c>
    </row>
    <row r="62" spans="2:6" x14ac:dyDescent="0.2">
      <c r="B62" s="44" t="s">
        <v>132</v>
      </c>
      <c r="E62" s="106"/>
    </row>
    <row r="64" spans="2:6" x14ac:dyDescent="0.2">
      <c r="B64" s="44" t="s">
        <v>350</v>
      </c>
      <c r="C64" s="44"/>
      <c r="D64" s="44"/>
      <c r="E64" s="154"/>
      <c r="F64" s="44"/>
    </row>
    <row r="65" spans="1:8" x14ac:dyDescent="0.2">
      <c r="B65" s="44" t="s">
        <v>351</v>
      </c>
      <c r="C65" s="44"/>
      <c r="D65" s="44"/>
      <c r="E65" s="44"/>
      <c r="F65" s="44"/>
    </row>
    <row r="66" spans="1:8" x14ac:dyDescent="0.2">
      <c r="B66" s="44" t="s">
        <v>42</v>
      </c>
      <c r="C66" s="44"/>
      <c r="D66" s="44"/>
      <c r="E66" s="44"/>
      <c r="F66" s="44"/>
    </row>
    <row r="67" spans="1:8" x14ac:dyDescent="0.2">
      <c r="H67" s="55" t="s">
        <v>303</v>
      </c>
    </row>
    <row r="69" spans="1:8" x14ac:dyDescent="0.2">
      <c r="A69" s="46" t="s">
        <v>134</v>
      </c>
      <c r="B69" s="46" t="s">
        <v>305</v>
      </c>
      <c r="C69" s="46" t="s">
        <v>306</v>
      </c>
      <c r="D69" s="46" t="s">
        <v>307</v>
      </c>
      <c r="E69" s="46"/>
      <c r="F69" s="46" t="s">
        <v>352</v>
      </c>
      <c r="G69" s="46" t="s">
        <v>353</v>
      </c>
      <c r="H69" s="46" t="s">
        <v>354</v>
      </c>
    </row>
    <row r="70" spans="1:8" x14ac:dyDescent="0.2">
      <c r="A70" s="98"/>
      <c r="B70" s="98" t="s">
        <v>311</v>
      </c>
      <c r="C70" s="98" t="s">
        <v>312</v>
      </c>
      <c r="D70" s="98" t="s">
        <v>355</v>
      </c>
      <c r="E70" s="98"/>
      <c r="F70" s="98" t="s">
        <v>356</v>
      </c>
      <c r="G70" s="98" t="s">
        <v>357</v>
      </c>
      <c r="H70" s="98"/>
    </row>
    <row r="71" spans="1:8" x14ac:dyDescent="0.2">
      <c r="A71" s="98"/>
      <c r="B71" s="98"/>
      <c r="C71" s="98"/>
      <c r="D71" s="98"/>
      <c r="E71" s="98"/>
      <c r="F71" s="98" t="s">
        <v>358</v>
      </c>
      <c r="G71" s="98" t="s">
        <v>359</v>
      </c>
      <c r="H71" s="98"/>
    </row>
    <row r="72" spans="1:8" x14ac:dyDescent="0.2">
      <c r="A72" s="98"/>
      <c r="B72" s="98"/>
      <c r="C72" s="98"/>
      <c r="D72" s="98"/>
      <c r="E72" s="98"/>
      <c r="F72" s="98" t="s">
        <v>360</v>
      </c>
      <c r="G72" s="98" t="s">
        <v>361</v>
      </c>
      <c r="H72" s="98"/>
    </row>
    <row r="73" spans="1:8" x14ac:dyDescent="0.2">
      <c r="A73" s="98"/>
      <c r="B73" s="98"/>
      <c r="C73" s="98"/>
      <c r="D73" s="98"/>
      <c r="E73" s="98"/>
      <c r="F73" s="98" t="s">
        <v>362</v>
      </c>
      <c r="G73" s="98" t="s">
        <v>363</v>
      </c>
      <c r="H73" s="98"/>
    </row>
    <row r="74" spans="1:8" x14ac:dyDescent="0.2">
      <c r="A74" s="98"/>
      <c r="B74" s="98"/>
      <c r="C74" s="98"/>
      <c r="D74" s="98"/>
      <c r="E74" s="98"/>
      <c r="F74" s="98"/>
      <c r="G74" s="98" t="s">
        <v>364</v>
      </c>
      <c r="H74" s="98"/>
    </row>
    <row r="75" spans="1:8" x14ac:dyDescent="0.2">
      <c r="A75" s="98"/>
      <c r="B75" s="98"/>
      <c r="C75" s="98"/>
      <c r="D75" s="98"/>
      <c r="E75" s="98"/>
      <c r="F75" s="98"/>
      <c r="G75" s="98" t="s">
        <v>365</v>
      </c>
      <c r="H75" s="98"/>
    </row>
    <row r="76" spans="1:8" x14ac:dyDescent="0.2">
      <c r="A76" s="98"/>
      <c r="B76" s="98"/>
      <c r="C76" s="98"/>
      <c r="D76" s="98"/>
      <c r="E76" s="98"/>
      <c r="F76" s="98"/>
      <c r="G76" s="98" t="s">
        <v>366</v>
      </c>
      <c r="H76" s="98"/>
    </row>
    <row r="77" spans="1:8" x14ac:dyDescent="0.2">
      <c r="A77" s="98"/>
      <c r="B77" s="98"/>
      <c r="C77" s="98"/>
      <c r="D77" s="98"/>
      <c r="E77" s="98"/>
      <c r="F77" s="98"/>
      <c r="G77" s="98" t="s">
        <v>367</v>
      </c>
      <c r="H77" s="98"/>
    </row>
    <row r="78" spans="1:8" x14ac:dyDescent="0.2">
      <c r="A78" s="48"/>
      <c r="B78" s="48"/>
      <c r="C78" s="48"/>
      <c r="D78" s="48"/>
      <c r="E78" s="48"/>
      <c r="F78" s="48"/>
      <c r="G78" s="48"/>
      <c r="H78" s="48"/>
    </row>
    <row r="80" spans="1:8" x14ac:dyDescent="0.2">
      <c r="A80" s="63">
        <v>1</v>
      </c>
      <c r="B80" s="63" t="s">
        <v>368</v>
      </c>
      <c r="C80" s="63" t="s">
        <v>369</v>
      </c>
      <c r="D80" s="63">
        <v>5314000</v>
      </c>
      <c r="F80" s="63">
        <v>3639000</v>
      </c>
      <c r="G80" s="152" t="s">
        <v>331</v>
      </c>
    </row>
    <row r="81" spans="1:7" x14ac:dyDescent="0.2">
      <c r="B81" s="63" t="s">
        <v>370</v>
      </c>
    </row>
    <row r="82" spans="1:7" x14ac:dyDescent="0.2">
      <c r="B82" s="63" t="s">
        <v>371</v>
      </c>
    </row>
    <row r="84" spans="1:7" x14ac:dyDescent="0.2">
      <c r="A84" s="63">
        <v>2</v>
      </c>
      <c r="B84" s="63" t="s">
        <v>372</v>
      </c>
      <c r="C84" s="63" t="s">
        <v>373</v>
      </c>
      <c r="D84" s="63">
        <v>240000</v>
      </c>
      <c r="F84" s="63">
        <v>240000</v>
      </c>
      <c r="G84" s="152" t="s">
        <v>331</v>
      </c>
    </row>
    <row r="85" spans="1:7" x14ac:dyDescent="0.2">
      <c r="B85" s="63" t="s">
        <v>374</v>
      </c>
    </row>
    <row r="86" spans="1:7" x14ac:dyDescent="0.2">
      <c r="B86" s="63" t="s">
        <v>375</v>
      </c>
    </row>
    <row r="91" spans="1:7" x14ac:dyDescent="0.2">
      <c r="B91" s="44" t="s">
        <v>376</v>
      </c>
    </row>
    <row r="92" spans="1:7" x14ac:dyDescent="0.2">
      <c r="B92" s="146" t="s">
        <v>348</v>
      </c>
      <c r="C92" s="146" t="s">
        <v>349</v>
      </c>
      <c r="D92" s="146" t="s">
        <v>108</v>
      </c>
      <c r="E92" s="98"/>
    </row>
    <row r="93" spans="1:7" x14ac:dyDescent="0.2">
      <c r="B93" s="152" t="s">
        <v>377</v>
      </c>
      <c r="C93" s="63" t="s">
        <v>378</v>
      </c>
      <c r="D93" s="151">
        <v>50000</v>
      </c>
      <c r="E93" s="151"/>
    </row>
    <row r="94" spans="1:7" x14ac:dyDescent="0.2">
      <c r="B94" s="152" t="s">
        <v>379</v>
      </c>
      <c r="C94" s="63" t="s">
        <v>380</v>
      </c>
      <c r="D94" s="151">
        <v>50000</v>
      </c>
      <c r="E94" s="151"/>
    </row>
    <row r="95" spans="1:7" x14ac:dyDescent="0.2">
      <c r="B95" s="152" t="s">
        <v>381</v>
      </c>
      <c r="C95" s="63" t="s">
        <v>382</v>
      </c>
      <c r="D95" s="151">
        <v>1000000</v>
      </c>
      <c r="E95" s="151"/>
    </row>
    <row r="96" spans="1:7" x14ac:dyDescent="0.2">
      <c r="B96" s="152" t="s">
        <v>383</v>
      </c>
      <c r="C96" s="63" t="s">
        <v>384</v>
      </c>
      <c r="D96" s="151">
        <v>2000000</v>
      </c>
      <c r="E96" s="151"/>
    </row>
    <row r="97" spans="2:6" x14ac:dyDescent="0.2">
      <c r="B97" s="152" t="s">
        <v>385</v>
      </c>
      <c r="C97" s="63" t="s">
        <v>386</v>
      </c>
      <c r="D97" s="151">
        <v>100000</v>
      </c>
      <c r="E97" s="151"/>
    </row>
    <row r="98" spans="2:6" x14ac:dyDescent="0.2">
      <c r="B98" s="152" t="s">
        <v>387</v>
      </c>
      <c r="C98" s="63" t="s">
        <v>388</v>
      </c>
      <c r="D98" s="151">
        <v>13750</v>
      </c>
      <c r="E98" s="151"/>
      <c r="F98" s="63" t="s">
        <v>389</v>
      </c>
    </row>
    <row r="99" spans="2:6" x14ac:dyDescent="0.2">
      <c r="B99" s="152" t="s">
        <v>390</v>
      </c>
      <c r="C99" s="63" t="s">
        <v>391</v>
      </c>
      <c r="D99" s="151">
        <v>100000</v>
      </c>
      <c r="E99" s="151"/>
    </row>
    <row r="100" spans="2:6" x14ac:dyDescent="0.2">
      <c r="B100" s="152" t="s">
        <v>392</v>
      </c>
      <c r="C100" s="63" t="s">
        <v>393</v>
      </c>
      <c r="D100" s="151">
        <v>175000</v>
      </c>
      <c r="E100" s="151"/>
    </row>
    <row r="101" spans="2:6" x14ac:dyDescent="0.2">
      <c r="B101" s="152" t="s">
        <v>47</v>
      </c>
      <c r="C101" s="63" t="s">
        <v>394</v>
      </c>
      <c r="D101" s="151">
        <v>1000000</v>
      </c>
      <c r="E101" s="151"/>
    </row>
    <row r="102" spans="2:6" x14ac:dyDescent="0.2">
      <c r="B102" s="152" t="s">
        <v>47</v>
      </c>
      <c r="C102" s="63" t="s">
        <v>388</v>
      </c>
      <c r="D102" s="151">
        <v>98349</v>
      </c>
      <c r="E102" s="151"/>
      <c r="F102" s="63" t="s">
        <v>395</v>
      </c>
    </row>
    <row r="103" spans="2:6" x14ac:dyDescent="0.2">
      <c r="B103" s="152" t="s">
        <v>47</v>
      </c>
      <c r="C103" s="63" t="s">
        <v>388</v>
      </c>
      <c r="D103" s="151">
        <v>726901</v>
      </c>
      <c r="E103" s="151"/>
      <c r="F103" s="63" t="s">
        <v>396</v>
      </c>
    </row>
    <row r="104" spans="2:6" x14ac:dyDescent="0.2">
      <c r="B104" s="152"/>
      <c r="D104" s="149">
        <f>SUM(D93:D103)</f>
        <v>5314000</v>
      </c>
      <c r="E104" s="151"/>
    </row>
  </sheetData>
  <phoneticPr fontId="0" type="noConversion"/>
  <pageMargins left="0.75" right="0.75" top="1" bottom="1" header="0.5" footer="0.5"/>
  <pageSetup paperSize="9" scale="8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20" sqref="C20"/>
    </sheetView>
  </sheetViews>
  <sheetFormatPr defaultRowHeight="12.75" x14ac:dyDescent="0.2"/>
  <cols>
    <col min="1" max="1" width="53.28515625" bestFit="1" customWidth="1"/>
    <col min="2" max="2" width="10.5703125" bestFit="1" customWidth="1"/>
    <col min="3" max="3" width="11.140625" bestFit="1" customWidth="1"/>
  </cols>
  <sheetData>
    <row r="1" spans="1:4" ht="15" x14ac:dyDescent="0.25">
      <c r="A1" s="123" t="s">
        <v>293</v>
      </c>
      <c r="B1" s="116"/>
      <c r="C1" s="116"/>
      <c r="D1" s="116"/>
    </row>
    <row r="2" spans="1:4" ht="15" x14ac:dyDescent="0.25">
      <c r="A2" s="138"/>
      <c r="B2" s="116"/>
      <c r="C2" s="116"/>
      <c r="D2" s="116"/>
    </row>
    <row r="3" spans="1:4" x14ac:dyDescent="0.2">
      <c r="A3" s="44" t="s">
        <v>229</v>
      </c>
      <c r="B3" s="53"/>
      <c r="C3" s="53"/>
    </row>
    <row r="4" spans="1:4" x14ac:dyDescent="0.2">
      <c r="B4" s="53"/>
      <c r="C4" s="53"/>
    </row>
    <row r="5" spans="1:4" x14ac:dyDescent="0.2">
      <c r="A5" t="s">
        <v>222</v>
      </c>
      <c r="B5" s="53">
        <f>Depreciation!J19</f>
        <v>7774071.0268658474</v>
      </c>
    </row>
    <row r="6" spans="1:4" x14ac:dyDescent="0.2">
      <c r="B6" s="53"/>
    </row>
    <row r="7" spans="1:4" x14ac:dyDescent="0.2">
      <c r="A7" t="s">
        <v>223</v>
      </c>
      <c r="B7" s="58">
        <f>Depreciation!J9</f>
        <v>4923097</v>
      </c>
    </row>
    <row r="8" spans="1:4" x14ac:dyDescent="0.2">
      <c r="C8" s="53">
        <f>+B5-B7</f>
        <v>2850974.0268658474</v>
      </c>
    </row>
    <row r="9" spans="1:4" x14ac:dyDescent="0.2">
      <c r="B9" s="53"/>
      <c r="C9" s="53"/>
    </row>
    <row r="10" spans="1:4" x14ac:dyDescent="0.2">
      <c r="A10" t="s">
        <v>224</v>
      </c>
      <c r="B10" s="53">
        <f>'Depreciation as per IT'!K22</f>
        <v>2824084.45</v>
      </c>
    </row>
    <row r="11" spans="1:4" x14ac:dyDescent="0.2">
      <c r="B11" s="53"/>
      <c r="C11" s="53"/>
    </row>
    <row r="12" spans="1:4" x14ac:dyDescent="0.2">
      <c r="A12" t="s">
        <v>225</v>
      </c>
      <c r="B12" s="58">
        <v>0</v>
      </c>
      <c r="C12" s="58">
        <f>+B10-B12</f>
        <v>2824084.45</v>
      </c>
    </row>
    <row r="13" spans="1:4" x14ac:dyDescent="0.2">
      <c r="B13" s="53">
        <f>+C12-C8</f>
        <v>-26889.576865847223</v>
      </c>
    </row>
    <row r="14" spans="1:4" x14ac:dyDescent="0.2">
      <c r="A14" t="s">
        <v>254</v>
      </c>
      <c r="C14" s="53"/>
    </row>
    <row r="15" spans="1:4" x14ac:dyDescent="0.2">
      <c r="A15" t="s">
        <v>255</v>
      </c>
      <c r="B15" s="53">
        <f>30000</f>
        <v>30000</v>
      </c>
    </row>
    <row r="16" spans="1:4" x14ac:dyDescent="0.2">
      <c r="A16" t="s">
        <v>226</v>
      </c>
      <c r="B16" s="53"/>
      <c r="C16" s="53">
        <f>SUM(B13:B15)</f>
        <v>3110.4231341527775</v>
      </c>
    </row>
    <row r="17" spans="1:3" x14ac:dyDescent="0.2">
      <c r="B17" s="53"/>
      <c r="C17" s="53"/>
    </row>
    <row r="18" spans="1:3" x14ac:dyDescent="0.2">
      <c r="A18" t="s">
        <v>227</v>
      </c>
      <c r="B18" s="53"/>
      <c r="C18" s="53">
        <f>C16*33.66%</f>
        <v>1046.9684269558247</v>
      </c>
    </row>
    <row r="19" spans="1:3" x14ac:dyDescent="0.2">
      <c r="B19" s="53"/>
      <c r="C19" s="53"/>
    </row>
    <row r="20" spans="1:3" x14ac:dyDescent="0.2">
      <c r="A20" t="s">
        <v>228</v>
      </c>
      <c r="B20" s="53"/>
      <c r="C20" s="58">
        <v>55280</v>
      </c>
    </row>
    <row r="21" spans="1:3" x14ac:dyDescent="0.2">
      <c r="B21" s="53"/>
      <c r="C21" s="54">
        <f>+C18-C20</f>
        <v>-54233.031573044173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6"/>
  <sheetViews>
    <sheetView workbookViewId="0">
      <selection activeCell="C34" sqref="C34"/>
    </sheetView>
  </sheetViews>
  <sheetFormatPr defaultRowHeight="12.75" x14ac:dyDescent="0.2"/>
  <cols>
    <col min="1" max="1" width="42.85546875" customWidth="1"/>
    <col min="2" max="2" width="11.28515625" customWidth="1"/>
    <col min="3" max="3" width="19.85546875" customWidth="1"/>
    <col min="4" max="4" width="5" customWidth="1"/>
    <col min="5" max="5" width="22.85546875" customWidth="1"/>
    <col min="8" max="8" width="11.5703125" customWidth="1"/>
    <col min="9" max="9" width="10" bestFit="1" customWidth="1"/>
  </cols>
  <sheetData>
    <row r="1" spans="1:6" x14ac:dyDescent="0.2">
      <c r="A1" s="805" t="str">
        <f>+'MCA Schedules'!A1</f>
        <v>GAYATRI VIDYA PARISHAD COLLEGE FOR DEGREE AND P.G. COURSES (AUTONOMOUS) VISAKHAPATNAM</v>
      </c>
      <c r="B1" s="805"/>
      <c r="C1" s="805"/>
      <c r="D1" s="805"/>
      <c r="E1" s="805"/>
      <c r="F1" s="216"/>
    </row>
    <row r="2" spans="1:6" ht="15.75" x14ac:dyDescent="0.25">
      <c r="A2" s="761" t="str">
        <f>'MCA BS'!A2:E2</f>
        <v>M.C.A PROGRAMME</v>
      </c>
      <c r="B2" s="761"/>
      <c r="C2" s="761"/>
      <c r="D2" s="761"/>
      <c r="E2" s="761"/>
      <c r="F2" s="21"/>
    </row>
    <row r="3" spans="1:6" ht="15.75" x14ac:dyDescent="0.25">
      <c r="A3" s="834" t="s">
        <v>672</v>
      </c>
      <c r="B3" s="834"/>
      <c r="C3" s="834"/>
      <c r="D3" s="834"/>
      <c r="E3" s="834"/>
      <c r="F3" s="339"/>
    </row>
    <row r="4" spans="1:6" ht="15" thickBot="1" x14ac:dyDescent="0.25">
      <c r="A4" s="116"/>
      <c r="B4" s="116"/>
      <c r="C4" s="187"/>
      <c r="D4" s="187"/>
    </row>
    <row r="5" spans="1:6" ht="15.75" x14ac:dyDescent="0.25">
      <c r="A5" s="835" t="s">
        <v>422</v>
      </c>
      <c r="B5" s="780" t="s">
        <v>1</v>
      </c>
      <c r="C5" s="473" t="s">
        <v>423</v>
      </c>
      <c r="D5" s="837"/>
      <c r="E5" s="407" t="s">
        <v>423</v>
      </c>
      <c r="F5" s="11"/>
    </row>
    <row r="6" spans="1:6" ht="15.75" x14ac:dyDescent="0.25">
      <c r="A6" s="836"/>
      <c r="B6" s="781"/>
      <c r="C6" s="345" t="s">
        <v>15</v>
      </c>
      <c r="D6" s="838"/>
      <c r="E6" s="409" t="s">
        <v>15</v>
      </c>
      <c r="F6" s="11"/>
    </row>
    <row r="7" spans="1:6" ht="15.75" x14ac:dyDescent="0.25">
      <c r="A7" s="836"/>
      <c r="B7" s="781"/>
      <c r="C7" s="346" t="str">
        <f>+'MCA Schedules'!D5</f>
        <v>31.03.2025</v>
      </c>
      <c r="D7" s="838"/>
      <c r="E7" s="411" t="str">
        <f>+'MCA Schedules'!F5</f>
        <v>31.03.2024</v>
      </c>
      <c r="F7" s="11"/>
    </row>
    <row r="8" spans="1:6" ht="15.75" x14ac:dyDescent="0.25">
      <c r="A8" s="836"/>
      <c r="B8" s="782"/>
      <c r="C8" s="338" t="s">
        <v>495</v>
      </c>
      <c r="D8" s="839"/>
      <c r="E8" s="415" t="s">
        <v>495</v>
      </c>
      <c r="F8" s="11"/>
    </row>
    <row r="9" spans="1:6" ht="15.75" x14ac:dyDescent="0.25">
      <c r="A9" s="396" t="s">
        <v>8</v>
      </c>
      <c r="B9" s="340"/>
      <c r="C9" s="341"/>
      <c r="D9" s="185"/>
      <c r="E9" s="398"/>
      <c r="F9" s="11"/>
    </row>
    <row r="10" spans="1:6" ht="15.75" x14ac:dyDescent="0.25">
      <c r="A10" s="399" t="s">
        <v>446</v>
      </c>
      <c r="B10" s="342">
        <v>10</v>
      </c>
      <c r="C10" s="347">
        <f>+'MCA Schedules'!D65</f>
        <v>9960100</v>
      </c>
      <c r="D10" s="347"/>
      <c r="E10" s="426">
        <f>+'MCA Schedules'!F65</f>
        <v>10902100</v>
      </c>
      <c r="F10" s="11"/>
    </row>
    <row r="11" spans="1:6" ht="15.75" x14ac:dyDescent="0.25">
      <c r="A11" s="399"/>
      <c r="B11" s="342"/>
      <c r="C11" s="347"/>
      <c r="D11" s="347"/>
      <c r="E11" s="426"/>
      <c r="F11" s="11"/>
    </row>
    <row r="12" spans="1:6" ht="15.75" x14ac:dyDescent="0.25">
      <c r="A12" s="399" t="s">
        <v>447</v>
      </c>
      <c r="B12" s="342">
        <v>11</v>
      </c>
      <c r="C12" s="347">
        <f>+'MCA Schedules'!D68</f>
        <v>554995</v>
      </c>
      <c r="D12" s="347"/>
      <c r="E12" s="426">
        <f>+'MCA Schedules'!F68</f>
        <v>486519</v>
      </c>
      <c r="F12" s="11"/>
    </row>
    <row r="13" spans="1:6" ht="15.75" x14ac:dyDescent="0.25">
      <c r="A13" s="399"/>
      <c r="B13" s="342"/>
      <c r="C13" s="347"/>
      <c r="D13" s="347"/>
      <c r="E13" s="426"/>
      <c r="F13" s="11"/>
    </row>
    <row r="14" spans="1:6" ht="15.75" x14ac:dyDescent="0.25">
      <c r="A14" s="399" t="s">
        <v>448</v>
      </c>
      <c r="B14" s="342">
        <v>12</v>
      </c>
      <c r="C14" s="347">
        <f>+'MCA Schedules'!D71</f>
        <v>2546</v>
      </c>
      <c r="D14" s="347"/>
      <c r="E14" s="426">
        <f>+'MCA Schedules'!F71</f>
        <v>5101</v>
      </c>
      <c r="F14" s="11"/>
    </row>
    <row r="15" spans="1:6" ht="15.75" x14ac:dyDescent="0.25">
      <c r="A15" s="399"/>
      <c r="B15" s="342"/>
      <c r="C15" s="347"/>
      <c r="D15" s="347"/>
      <c r="E15" s="426"/>
      <c r="F15" s="11"/>
    </row>
    <row r="16" spans="1:6" ht="15.75" x14ac:dyDescent="0.25">
      <c r="A16" s="401"/>
      <c r="B16" s="185"/>
      <c r="C16" s="347"/>
      <c r="D16" s="347"/>
      <c r="E16" s="426"/>
      <c r="F16" s="11"/>
    </row>
    <row r="17" spans="1:9" ht="16.5" thickBot="1" x14ac:dyDescent="0.3">
      <c r="A17" s="444" t="s">
        <v>476</v>
      </c>
      <c r="B17" s="467"/>
      <c r="C17" s="531">
        <f>SUM(C10:C16)</f>
        <v>10517641</v>
      </c>
      <c r="D17" s="531"/>
      <c r="E17" s="530">
        <f>SUM(E10:E15)</f>
        <v>11393720</v>
      </c>
      <c r="F17" s="11"/>
    </row>
    <row r="18" spans="1:9" ht="15.75" x14ac:dyDescent="0.25">
      <c r="A18" s="401"/>
      <c r="B18" s="185"/>
      <c r="C18" s="347"/>
      <c r="D18" s="347"/>
      <c r="E18" s="426"/>
      <c r="F18" s="11"/>
    </row>
    <row r="19" spans="1:9" ht="15.75" x14ac:dyDescent="0.25">
      <c r="A19" s="396" t="s">
        <v>9</v>
      </c>
      <c r="B19" s="185"/>
      <c r="C19" s="347"/>
      <c r="D19" s="347"/>
      <c r="E19" s="426"/>
      <c r="F19" s="11"/>
    </row>
    <row r="20" spans="1:9" ht="15.75" x14ac:dyDescent="0.25">
      <c r="A20" s="399" t="s">
        <v>451</v>
      </c>
      <c r="B20" s="342">
        <v>13</v>
      </c>
      <c r="C20" s="347">
        <f>+'MCA Schedules'!D77</f>
        <v>11627195</v>
      </c>
      <c r="D20" s="347"/>
      <c r="E20" s="426">
        <f>+'MCA Schedules'!F77</f>
        <v>5900957</v>
      </c>
      <c r="F20" s="11"/>
    </row>
    <row r="21" spans="1:9" ht="15.75" x14ac:dyDescent="0.25">
      <c r="A21" s="399"/>
      <c r="B21" s="342"/>
      <c r="C21" s="347"/>
      <c r="D21" s="347"/>
      <c r="E21" s="426"/>
      <c r="F21" s="11"/>
    </row>
    <row r="22" spans="1:9" ht="15.75" x14ac:dyDescent="0.25">
      <c r="A22" s="399" t="s">
        <v>452</v>
      </c>
      <c r="B22" s="342">
        <v>14</v>
      </c>
      <c r="C22" s="347">
        <f>+'MCA Schedules'!D85</f>
        <v>960514</v>
      </c>
      <c r="D22" s="347"/>
      <c r="E22" s="426">
        <f>+'MCA Schedules'!F85</f>
        <v>1971429</v>
      </c>
      <c r="F22" s="11"/>
    </row>
    <row r="23" spans="1:9" ht="15.75" x14ac:dyDescent="0.25">
      <c r="A23" s="399"/>
      <c r="B23" s="342"/>
      <c r="C23" s="347"/>
      <c r="D23" s="347"/>
      <c r="E23" s="426"/>
      <c r="F23" s="11"/>
    </row>
    <row r="24" spans="1:9" ht="15.75" x14ac:dyDescent="0.25">
      <c r="A24" s="399" t="s">
        <v>485</v>
      </c>
      <c r="B24" s="342">
        <v>15</v>
      </c>
      <c r="C24" s="347">
        <f>+'MCA Schedules'!D101</f>
        <v>1451903</v>
      </c>
      <c r="D24" s="347"/>
      <c r="E24" s="426">
        <f>+'MCA Schedules'!F101</f>
        <v>876263</v>
      </c>
      <c r="F24" s="11"/>
    </row>
    <row r="25" spans="1:9" ht="15.75" x14ac:dyDescent="0.25">
      <c r="A25" s="399"/>
      <c r="B25" s="342"/>
      <c r="C25" s="347"/>
      <c r="D25" s="347"/>
      <c r="E25" s="426"/>
      <c r="F25" s="11"/>
    </row>
    <row r="26" spans="1:9" ht="15.75" x14ac:dyDescent="0.25">
      <c r="A26" s="399" t="s">
        <v>553</v>
      </c>
      <c r="B26" s="342">
        <v>16</v>
      </c>
      <c r="C26" s="347">
        <f>+'MCA Schedules'!D114</f>
        <v>531</v>
      </c>
      <c r="D26" s="347"/>
      <c r="E26" s="426">
        <f>+'MCA Schedules'!F114</f>
        <v>1379.42</v>
      </c>
      <c r="F26" s="11"/>
      <c r="I26" s="130"/>
    </row>
    <row r="27" spans="1:9" ht="15.75" x14ac:dyDescent="0.25">
      <c r="A27" s="399"/>
      <c r="B27" s="342"/>
      <c r="C27" s="347"/>
      <c r="D27" s="347"/>
      <c r="E27" s="426"/>
      <c r="F27" s="11"/>
    </row>
    <row r="28" spans="1:9" ht="15.75" x14ac:dyDescent="0.25">
      <c r="A28" s="399" t="s">
        <v>554</v>
      </c>
      <c r="B28" s="342">
        <v>17</v>
      </c>
      <c r="C28" s="347">
        <f>+'MCA Schedules'!D118</f>
        <v>0</v>
      </c>
      <c r="D28" s="347"/>
      <c r="E28" s="426">
        <f>+'MCA Schedules'!F118</f>
        <v>0</v>
      </c>
      <c r="F28" s="11"/>
    </row>
    <row r="29" spans="1:9" ht="15.75" x14ac:dyDescent="0.25">
      <c r="A29" s="399"/>
      <c r="B29" s="342"/>
      <c r="C29" s="347"/>
      <c r="D29" s="347"/>
      <c r="E29" s="426"/>
      <c r="F29" s="11"/>
    </row>
    <row r="30" spans="1:9" ht="15.75" x14ac:dyDescent="0.25">
      <c r="A30" s="399" t="s">
        <v>10</v>
      </c>
      <c r="B30" s="342">
        <v>18</v>
      </c>
      <c r="C30" s="347">
        <f>'MCA Schedules'!D122</f>
        <v>780871</v>
      </c>
      <c r="D30" s="347"/>
      <c r="E30" s="426">
        <f>'MCA Schedules'!F122</f>
        <v>961546</v>
      </c>
      <c r="F30" s="11"/>
    </row>
    <row r="31" spans="1:9" ht="15.75" x14ac:dyDescent="0.25">
      <c r="A31" s="399"/>
      <c r="B31" s="185"/>
      <c r="C31" s="347"/>
      <c r="D31" s="347"/>
      <c r="E31" s="426"/>
      <c r="F31" s="11"/>
    </row>
    <row r="32" spans="1:9" ht="16.5" thickBot="1" x14ac:dyDescent="0.3">
      <c r="A32" s="444" t="s">
        <v>477</v>
      </c>
      <c r="B32" s="467"/>
      <c r="C32" s="531">
        <f>SUM(C20:C31)</f>
        <v>14821014</v>
      </c>
      <c r="D32" s="531"/>
      <c r="E32" s="530">
        <f>SUM(E20:E31)</f>
        <v>9711574.4199999999</v>
      </c>
      <c r="F32" s="11"/>
    </row>
    <row r="33" spans="1:8" ht="15.75" x14ac:dyDescent="0.25">
      <c r="A33" s="401"/>
      <c r="B33" s="185"/>
      <c r="C33" s="347"/>
      <c r="D33" s="347"/>
      <c r="E33" s="426"/>
      <c r="F33" s="11"/>
      <c r="H33" s="63"/>
    </row>
    <row r="34" spans="1:8" ht="16.5" thickBot="1" x14ac:dyDescent="0.3">
      <c r="A34" s="424" t="s">
        <v>657</v>
      </c>
      <c r="B34" s="404"/>
      <c r="C34" s="428">
        <f>+C17-C32</f>
        <v>-4303373</v>
      </c>
      <c r="D34" s="428"/>
      <c r="E34" s="472">
        <f>+E17-E32</f>
        <v>1682145.58</v>
      </c>
      <c r="F34" s="11"/>
      <c r="H34" s="630"/>
    </row>
    <row r="35" spans="1:8" ht="15.75" x14ac:dyDescent="0.25">
      <c r="A35" s="11"/>
      <c r="B35" s="11"/>
      <c r="C35" s="237"/>
      <c r="D35" s="11"/>
      <c r="E35" s="344"/>
      <c r="F35" s="11"/>
    </row>
    <row r="36" spans="1:8" s="214" customFormat="1" ht="15.75" x14ac:dyDescent="0.25">
      <c r="A36" s="11" t="s">
        <v>589</v>
      </c>
      <c r="B36" s="17"/>
      <c r="C36" s="15"/>
      <c r="D36" s="12"/>
      <c r="E36" s="17"/>
      <c r="F36" s="11"/>
    </row>
    <row r="37" spans="1:8" s="214" customFormat="1" ht="15.75" x14ac:dyDescent="0.25">
      <c r="A37" s="11"/>
      <c r="B37" s="17"/>
      <c r="C37" s="15"/>
      <c r="D37" s="12"/>
      <c r="E37" s="17"/>
      <c r="F37" s="11"/>
    </row>
    <row r="38" spans="1:8" s="214" customFormat="1" ht="15.75" x14ac:dyDescent="0.25">
      <c r="A38" s="11" t="s">
        <v>552</v>
      </c>
      <c r="B38" s="763" t="s">
        <v>546</v>
      </c>
      <c r="C38" s="763"/>
      <c r="D38" s="763"/>
      <c r="E38" s="763"/>
      <c r="F38" s="11"/>
    </row>
    <row r="39" spans="1:8" s="214" customFormat="1" ht="15.75" x14ac:dyDescent="0.25">
      <c r="B39" s="765" t="s">
        <v>627</v>
      </c>
      <c r="C39" s="765"/>
      <c r="D39" s="765"/>
      <c r="E39" s="765"/>
      <c r="F39" s="11"/>
    </row>
    <row r="40" spans="1:8" s="214" customFormat="1" ht="15.75" x14ac:dyDescent="0.25">
      <c r="B40" s="626"/>
      <c r="C40" s="626"/>
      <c r="D40" s="626"/>
      <c r="E40" s="626"/>
      <c r="F40" s="11"/>
    </row>
    <row r="41" spans="1:8" s="214" customFormat="1" ht="15.75" x14ac:dyDescent="0.25">
      <c r="A41" s="11"/>
      <c r="B41" s="12"/>
      <c r="C41" s="12"/>
      <c r="D41" s="14"/>
      <c r="E41" s="11"/>
      <c r="F41" s="11"/>
    </row>
    <row r="42" spans="1:8" s="90" customFormat="1" ht="15.75" x14ac:dyDescent="0.25">
      <c r="A42" s="348" t="s">
        <v>681</v>
      </c>
      <c r="B42" s="761" t="s">
        <v>682</v>
      </c>
      <c r="C42" s="761"/>
      <c r="D42" s="761"/>
      <c r="E42" s="761"/>
      <c r="F42" s="15"/>
    </row>
    <row r="43" spans="1:8" s="90" customFormat="1" ht="15.75" x14ac:dyDescent="0.25">
      <c r="A43" s="177" t="s">
        <v>416</v>
      </c>
      <c r="B43" s="761" t="s">
        <v>671</v>
      </c>
      <c r="C43" s="761"/>
      <c r="D43" s="761"/>
      <c r="E43" s="761"/>
    </row>
    <row r="44" spans="1:8" s="90" customFormat="1" ht="15.75" x14ac:dyDescent="0.25">
      <c r="A44" s="11" t="s">
        <v>684</v>
      </c>
      <c r="B44" s="12"/>
      <c r="C44" s="13"/>
      <c r="D44" s="14"/>
      <c r="E44" s="14"/>
    </row>
    <row r="45" spans="1:8" s="90" customFormat="1" ht="15.75" x14ac:dyDescent="0.25">
      <c r="A45" s="11"/>
      <c r="B45" s="12"/>
      <c r="C45" s="11"/>
      <c r="D45" s="11"/>
      <c r="E45" s="11"/>
    </row>
    <row r="46" spans="1:8" s="90" customFormat="1" ht="15.75" x14ac:dyDescent="0.25">
      <c r="A46" s="11"/>
      <c r="B46" s="11"/>
      <c r="C46" s="11"/>
      <c r="D46" s="11"/>
      <c r="E46" s="11"/>
    </row>
    <row r="47" spans="1:8" s="90" customFormat="1" ht="15.75" x14ac:dyDescent="0.25">
      <c r="A47" s="11"/>
      <c r="B47" s="762" t="s">
        <v>683</v>
      </c>
      <c r="C47" s="762"/>
      <c r="D47" s="762"/>
      <c r="E47" s="762"/>
    </row>
    <row r="48" spans="1:8" s="90" customFormat="1" ht="15.75" x14ac:dyDescent="0.25">
      <c r="A48" s="11"/>
      <c r="B48" s="763" t="s">
        <v>621</v>
      </c>
      <c r="C48" s="763"/>
      <c r="D48" s="763"/>
      <c r="E48" s="763"/>
    </row>
    <row r="49" spans="1:6" s="90" customFormat="1" ht="15.75" x14ac:dyDescent="0.25">
      <c r="A49" s="348" t="s">
        <v>686</v>
      </c>
      <c r="B49" s="11"/>
      <c r="C49" s="11"/>
      <c r="D49" s="11"/>
      <c r="E49" s="11"/>
    </row>
    <row r="50" spans="1:6" s="90" customFormat="1" ht="15.75" x14ac:dyDescent="0.25">
      <c r="A50" s="148" t="s">
        <v>687</v>
      </c>
      <c r="B50" s="11"/>
      <c r="C50" s="11"/>
      <c r="D50" s="11"/>
      <c r="E50" s="11"/>
    </row>
    <row r="51" spans="1:6" s="90" customFormat="1" ht="15.75" x14ac:dyDescent="0.25">
      <c r="A51" s="11" t="s">
        <v>688</v>
      </c>
      <c r="B51" s="11"/>
      <c r="C51" s="11"/>
      <c r="D51" s="11"/>
      <c r="E51" s="11"/>
    </row>
    <row r="52" spans="1:6" s="90" customFormat="1" ht="15.75" x14ac:dyDescent="0.25">
      <c r="A52" s="148" t="s">
        <v>419</v>
      </c>
      <c r="B52" s="764" t="s">
        <v>685</v>
      </c>
      <c r="C52" s="764"/>
      <c r="D52" s="764"/>
      <c r="E52" s="764"/>
      <c r="F52" s="16"/>
    </row>
    <row r="53" spans="1:6" s="90" customFormat="1" ht="15.75" x14ac:dyDescent="0.25">
      <c r="A53" s="148" t="s">
        <v>690</v>
      </c>
      <c r="B53" s="748" t="s">
        <v>622</v>
      </c>
      <c r="C53" s="748"/>
      <c r="D53" s="748"/>
      <c r="E53" s="748"/>
      <c r="F53" s="16"/>
    </row>
    <row r="54" spans="1:6" s="90" customFormat="1" ht="15.75" x14ac:dyDescent="0.25">
      <c r="A54" s="11"/>
      <c r="B54" s="11"/>
      <c r="C54" s="11"/>
      <c r="D54" s="11"/>
      <c r="E54" s="11"/>
    </row>
    <row r="55" spans="1:6" s="90" customFormat="1" ht="15.75" x14ac:dyDescent="0.25">
      <c r="A55" s="11"/>
      <c r="B55" s="11"/>
      <c r="C55" s="11"/>
      <c r="D55" s="11"/>
      <c r="E55" s="11"/>
    </row>
    <row r="56" spans="1:6" s="90" customFormat="1" ht="15.75" x14ac:dyDescent="0.25">
      <c r="A56" s="11"/>
      <c r="B56" s="11"/>
      <c r="C56" s="11"/>
      <c r="D56" s="11"/>
      <c r="E56" s="11"/>
    </row>
  </sheetData>
  <mergeCells count="14">
    <mergeCell ref="B39:E39"/>
    <mergeCell ref="A1:E1"/>
    <mergeCell ref="A3:E3"/>
    <mergeCell ref="A5:A8"/>
    <mergeCell ref="B5:B8"/>
    <mergeCell ref="B38:E38"/>
    <mergeCell ref="A2:E2"/>
    <mergeCell ref="D5:D8"/>
    <mergeCell ref="B53:E53"/>
    <mergeCell ref="B42:E42"/>
    <mergeCell ref="B43:E43"/>
    <mergeCell ref="B47:E47"/>
    <mergeCell ref="B48:E48"/>
    <mergeCell ref="B52:E52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9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topLeftCell="C1" zoomScale="70" zoomScaleNormal="70" zoomScaleSheetLayoutView="70" workbookViewId="0">
      <selection activeCell="J29" sqref="J29"/>
    </sheetView>
  </sheetViews>
  <sheetFormatPr defaultColWidth="9.140625" defaultRowHeight="18" x14ac:dyDescent="0.25"/>
  <cols>
    <col min="1" max="1" width="9.140625" style="209" customWidth="1"/>
    <col min="2" max="2" width="51.28515625" style="206" customWidth="1"/>
    <col min="3" max="3" width="25.140625" style="206" customWidth="1"/>
    <col min="4" max="4" width="23.85546875" style="206" bestFit="1" customWidth="1"/>
    <col min="5" max="5" width="26.140625" style="206" customWidth="1"/>
    <col min="6" max="6" width="24.28515625" style="206" customWidth="1"/>
    <col min="7" max="7" width="1.42578125" style="206" customWidth="1"/>
    <col min="8" max="8" width="8" style="208" bestFit="1" customWidth="1"/>
    <col min="9" max="9" width="1.28515625" style="206" customWidth="1"/>
    <col min="10" max="10" width="27" style="206" customWidth="1"/>
    <col min="11" max="11" width="23.85546875" style="207" bestFit="1" customWidth="1"/>
    <col min="12" max="12" width="23.85546875" style="206" customWidth="1"/>
    <col min="13" max="13" width="1.28515625" style="206" customWidth="1"/>
    <col min="14" max="14" width="26.28515625" style="206" bestFit="1" customWidth="1"/>
    <col min="15" max="15" width="24.5703125" style="206" bestFit="1" customWidth="1"/>
    <col min="16" max="16" width="22" style="206" bestFit="1" customWidth="1"/>
    <col min="17" max="16384" width="9.140625" style="206"/>
  </cols>
  <sheetData>
    <row r="1" spans="1:16" ht="18.75" x14ac:dyDescent="0.25">
      <c r="A1" s="793" t="s">
        <v>559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</row>
    <row r="2" spans="1:16" ht="18.75" x14ac:dyDescent="0.25">
      <c r="A2" s="793" t="str">
        <f>'MCA BS'!A2:E2</f>
        <v>M.C.A PROGRAMME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793"/>
      <c r="O2" s="793"/>
    </row>
    <row r="3" spans="1:16" ht="18.75" x14ac:dyDescent="0.25">
      <c r="A3" s="793" t="s">
        <v>666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</row>
    <row r="4" spans="1:16" ht="18.75" thickBot="1" x14ac:dyDescent="0.3">
      <c r="A4" s="309"/>
      <c r="B4" s="310"/>
      <c r="C4" s="310"/>
      <c r="D4" s="310"/>
      <c r="E4" s="310"/>
      <c r="F4" s="310"/>
      <c r="G4" s="310"/>
      <c r="H4" s="311"/>
      <c r="I4" s="310"/>
      <c r="J4" s="310"/>
      <c r="K4" s="312"/>
      <c r="L4" s="310"/>
      <c r="M4" s="310"/>
      <c r="N4" s="310"/>
      <c r="O4" s="310"/>
    </row>
    <row r="5" spans="1:16" s="302" customFormat="1" ht="52.5" customHeight="1" x14ac:dyDescent="0.3">
      <c r="A5" s="794" t="s">
        <v>493</v>
      </c>
      <c r="B5" s="797" t="s">
        <v>422</v>
      </c>
      <c r="C5" s="797" t="s">
        <v>27</v>
      </c>
      <c r="D5" s="797"/>
      <c r="E5" s="797"/>
      <c r="F5" s="797"/>
      <c r="G5" s="667"/>
      <c r="H5" s="301" t="s">
        <v>76</v>
      </c>
      <c r="I5" s="667"/>
      <c r="J5" s="797" t="s">
        <v>28</v>
      </c>
      <c r="K5" s="797"/>
      <c r="L5" s="797"/>
      <c r="M5" s="667"/>
      <c r="N5" s="797" t="s">
        <v>29</v>
      </c>
      <c r="O5" s="800"/>
    </row>
    <row r="6" spans="1:16" s="302" customFormat="1" ht="18.75" x14ac:dyDescent="0.3">
      <c r="A6" s="795"/>
      <c r="B6" s="798"/>
      <c r="C6" s="668">
        <v>1</v>
      </c>
      <c r="D6" s="801">
        <v>2</v>
      </c>
      <c r="E6" s="802"/>
      <c r="F6" s="668">
        <v>3</v>
      </c>
      <c r="G6" s="668"/>
      <c r="H6" s="543"/>
      <c r="I6" s="668"/>
      <c r="J6" s="668">
        <v>4</v>
      </c>
      <c r="K6" s="668">
        <v>5</v>
      </c>
      <c r="L6" s="668">
        <v>6</v>
      </c>
      <c r="M6" s="668"/>
      <c r="N6" s="668">
        <v>7</v>
      </c>
      <c r="O6" s="544">
        <v>8</v>
      </c>
    </row>
    <row r="7" spans="1:16" s="302" customFormat="1" ht="37.5" x14ac:dyDescent="0.3">
      <c r="A7" s="796"/>
      <c r="B7" s="799"/>
      <c r="C7" s="304" t="s">
        <v>667</v>
      </c>
      <c r="D7" s="669" t="s">
        <v>492</v>
      </c>
      <c r="E7" s="669" t="s">
        <v>240</v>
      </c>
      <c r="F7" s="304" t="s">
        <v>668</v>
      </c>
      <c r="G7" s="304"/>
      <c r="H7" s="305" t="s">
        <v>119</v>
      </c>
      <c r="I7" s="669"/>
      <c r="J7" s="304" t="str">
        <f>C7</f>
        <v>AS ON 
01.04.2024</v>
      </c>
      <c r="K7" s="306" t="s">
        <v>491</v>
      </c>
      <c r="L7" s="304" t="str">
        <f>F7</f>
        <v>AS ON 
31.03.2025</v>
      </c>
      <c r="M7" s="669"/>
      <c r="N7" s="304" t="str">
        <f>C7</f>
        <v>AS ON 
01.04.2024</v>
      </c>
      <c r="O7" s="307" t="str">
        <f>F7</f>
        <v>AS ON 
31.03.2025</v>
      </c>
    </row>
    <row r="8" spans="1:16" s="303" customFormat="1" ht="60" customHeight="1" x14ac:dyDescent="0.3">
      <c r="A8" s="674">
        <v>1</v>
      </c>
      <c r="B8" s="675" t="s">
        <v>38</v>
      </c>
      <c r="C8" s="313">
        <f>+'MCA  DEP-2425'!C14</f>
        <v>22378334</v>
      </c>
      <c r="D8" s="313">
        <f>+'MCA  DEP-2425'!D14</f>
        <v>0</v>
      </c>
      <c r="E8" s="313">
        <v>0</v>
      </c>
      <c r="F8" s="313">
        <f>+C8+D8-E8</f>
        <v>22378334</v>
      </c>
      <c r="G8" s="313"/>
      <c r="H8" s="305" t="s">
        <v>490</v>
      </c>
      <c r="I8" s="669"/>
      <c r="J8" s="313">
        <f>+'MCA  DEP-2425'!I14</f>
        <v>18308976</v>
      </c>
      <c r="K8" s="313">
        <f>+'MCA  DEP-2425'!J14</f>
        <v>406936</v>
      </c>
      <c r="L8" s="313">
        <f>+'MCA  DEP-2425'!K14</f>
        <v>18715912</v>
      </c>
      <c r="M8" s="314"/>
      <c r="N8" s="313">
        <f>+'MCA  DEP-2425'!M14</f>
        <v>4069358</v>
      </c>
      <c r="O8" s="315">
        <f>+'MCA  DEP-2425'!N14</f>
        <v>3662422</v>
      </c>
    </row>
    <row r="9" spans="1:16" s="303" customFormat="1" ht="60" customHeight="1" x14ac:dyDescent="0.3">
      <c r="A9" s="674">
        <v>2</v>
      </c>
      <c r="B9" s="676" t="s">
        <v>676</v>
      </c>
      <c r="C9" s="313">
        <f>+'MCA  DEP-2425'!C17</f>
        <v>1884272</v>
      </c>
      <c r="D9" s="313">
        <f>+'MCA  DEP-2425'!D17</f>
        <v>53800</v>
      </c>
      <c r="E9" s="317">
        <v>0</v>
      </c>
      <c r="F9" s="313">
        <f t="shared" ref="F9:F13" si="0">+C9+D9-E9</f>
        <v>1938072</v>
      </c>
      <c r="G9" s="313"/>
      <c r="H9" s="305" t="s">
        <v>490</v>
      </c>
      <c r="I9" s="669"/>
      <c r="J9" s="313">
        <f>+'MCA  DEP-2425'!I17</f>
        <v>1341349</v>
      </c>
      <c r="K9" s="313">
        <f>+'MCA  DEP-2425'!J17</f>
        <v>56982</v>
      </c>
      <c r="L9" s="313">
        <f>+'MCA  DEP-2425'!K17</f>
        <v>1398331</v>
      </c>
      <c r="M9" s="314"/>
      <c r="N9" s="313">
        <f>+'MCA  DEP-2425'!M17</f>
        <v>542923</v>
      </c>
      <c r="O9" s="315">
        <f>+'MCA  DEP-2425'!N17</f>
        <v>539741</v>
      </c>
      <c r="P9" s="308"/>
    </row>
    <row r="10" spans="1:16" s="303" customFormat="1" ht="60" customHeight="1" x14ac:dyDescent="0.3">
      <c r="A10" s="674">
        <v>3</v>
      </c>
      <c r="B10" s="676" t="s">
        <v>677</v>
      </c>
      <c r="C10" s="313">
        <f>+'MCA  DEP-2425'!C57</f>
        <v>6386130</v>
      </c>
      <c r="D10" s="313">
        <f>+'MCA  DEP-2425'!D57</f>
        <v>12500</v>
      </c>
      <c r="E10" s="317">
        <v>0</v>
      </c>
      <c r="F10" s="313">
        <f t="shared" si="0"/>
        <v>6398630</v>
      </c>
      <c r="G10" s="313"/>
      <c r="H10" s="305" t="s">
        <v>489</v>
      </c>
      <c r="I10" s="669"/>
      <c r="J10" s="313">
        <f>+'MCA  DEP-2425'!I57</f>
        <v>5461937</v>
      </c>
      <c r="K10" s="313">
        <f>+'MCA  DEP-2425'!J57</f>
        <v>139567</v>
      </c>
      <c r="L10" s="313">
        <f>+'MCA  DEP-2425'!K57</f>
        <v>5601504</v>
      </c>
      <c r="M10" s="314"/>
      <c r="N10" s="313">
        <f>+'MCA  DEP-2425'!M57</f>
        <v>924193</v>
      </c>
      <c r="O10" s="315">
        <f>+'MCA  DEP-2425'!N57</f>
        <v>797126</v>
      </c>
      <c r="P10" s="308"/>
    </row>
    <row r="11" spans="1:16" s="303" customFormat="1" ht="60" customHeight="1" x14ac:dyDescent="0.3">
      <c r="A11" s="674">
        <v>4</v>
      </c>
      <c r="B11" s="677" t="s">
        <v>678</v>
      </c>
      <c r="C11" s="313">
        <f>+'MCA  DEP-2425'!C59</f>
        <v>167300</v>
      </c>
      <c r="D11" s="313">
        <f>+'MCA  DEP-2425'!D59</f>
        <v>0</v>
      </c>
      <c r="E11" s="313">
        <v>0</v>
      </c>
      <c r="F11" s="313">
        <f t="shared" si="0"/>
        <v>167300</v>
      </c>
      <c r="G11" s="313"/>
      <c r="H11" s="305" t="s">
        <v>489</v>
      </c>
      <c r="I11" s="316"/>
      <c r="J11" s="313">
        <f>+'MCA  DEP-2425'!I59</f>
        <v>165453</v>
      </c>
      <c r="K11" s="313">
        <f>+'MCA  DEP-2425'!J59</f>
        <v>277</v>
      </c>
      <c r="L11" s="313">
        <f>+'MCA  DEP-2425'!K59</f>
        <v>165730</v>
      </c>
      <c r="M11" s="314"/>
      <c r="N11" s="313">
        <f>+'MCA  DEP-2425'!M59</f>
        <v>1847</v>
      </c>
      <c r="O11" s="315">
        <f>+'MCA  DEP-2425'!N59</f>
        <v>1570</v>
      </c>
    </row>
    <row r="12" spans="1:16" s="303" customFormat="1" ht="60" customHeight="1" x14ac:dyDescent="0.3">
      <c r="A12" s="674">
        <v>5</v>
      </c>
      <c r="B12" s="677" t="s">
        <v>679</v>
      </c>
      <c r="C12" s="313">
        <f>+'MCA  DEP-2425'!C63</f>
        <v>8714483</v>
      </c>
      <c r="D12" s="313">
        <f>+'MCA  DEP-2425'!D63</f>
        <v>14300</v>
      </c>
      <c r="E12" s="313">
        <v>0</v>
      </c>
      <c r="F12" s="313">
        <f t="shared" si="0"/>
        <v>8728783</v>
      </c>
      <c r="G12" s="313"/>
      <c r="H12" s="305" t="s">
        <v>634</v>
      </c>
      <c r="I12" s="316"/>
      <c r="J12" s="313">
        <f>+'MCA  DEP-2425'!I63</f>
        <v>8386315</v>
      </c>
      <c r="K12" s="313">
        <f>+'MCA  DEP-2425'!J63</f>
        <v>136987</v>
      </c>
      <c r="L12" s="313">
        <f>+'MCA  DEP-2425'!K63</f>
        <v>8523302</v>
      </c>
      <c r="M12" s="314"/>
      <c r="N12" s="313">
        <f>+'MCA  DEP-2425'!M63</f>
        <v>328168</v>
      </c>
      <c r="O12" s="315">
        <f>+'MCA  DEP-2425'!N63</f>
        <v>205481</v>
      </c>
    </row>
    <row r="13" spans="1:16" s="303" customFormat="1" ht="60" customHeight="1" x14ac:dyDescent="0.3">
      <c r="A13" s="674">
        <v>6</v>
      </c>
      <c r="B13" s="678" t="s">
        <v>680</v>
      </c>
      <c r="C13" s="313">
        <f>+'MCA  DEP-2425'!C65</f>
        <v>2217998</v>
      </c>
      <c r="D13" s="313">
        <f>+'MCA  DEP-2425'!D65</f>
        <v>0</v>
      </c>
      <c r="E13" s="313">
        <v>0</v>
      </c>
      <c r="F13" s="313">
        <f t="shared" si="0"/>
        <v>2217998</v>
      </c>
      <c r="G13" s="313"/>
      <c r="H13" s="305" t="s">
        <v>634</v>
      </c>
      <c r="I13" s="318"/>
      <c r="J13" s="313">
        <f>+'MCA  DEP-2425'!I65</f>
        <v>2117692</v>
      </c>
      <c r="K13" s="313">
        <f>+'MCA  DEP-2425'!J65</f>
        <v>40122</v>
      </c>
      <c r="L13" s="313">
        <f>+'MCA  DEP-2425'!K65</f>
        <v>2157814</v>
      </c>
      <c r="M13" s="313"/>
      <c r="N13" s="313">
        <f>+'MCA  DEP-2425'!M65</f>
        <v>100306</v>
      </c>
      <c r="O13" s="315">
        <f>+'MCA  DEP-2425'!N65</f>
        <v>60184</v>
      </c>
    </row>
    <row r="14" spans="1:16" s="303" customFormat="1" ht="50.1" customHeight="1" thickBot="1" x14ac:dyDescent="0.35">
      <c r="A14" s="681"/>
      <c r="B14" s="682" t="s">
        <v>488</v>
      </c>
      <c r="C14" s="683">
        <f>+SUM(C8:C13)</f>
        <v>41748517</v>
      </c>
      <c r="D14" s="683">
        <f>+SUM(D8:D13)</f>
        <v>80600</v>
      </c>
      <c r="E14" s="683">
        <f>+SUM(E8:E13)</f>
        <v>0</v>
      </c>
      <c r="F14" s="683">
        <f>+SUM(F8:F13)</f>
        <v>41829117</v>
      </c>
      <c r="G14" s="683"/>
      <c r="H14" s="684"/>
      <c r="I14" s="685"/>
      <c r="J14" s="683">
        <f>+SUM(J8:J13)</f>
        <v>35781722</v>
      </c>
      <c r="K14" s="683">
        <f t="shared" ref="K14:L14" si="1">+SUM(K8:K13)</f>
        <v>780871</v>
      </c>
      <c r="L14" s="683">
        <f t="shared" si="1"/>
        <v>36562593</v>
      </c>
      <c r="M14" s="683"/>
      <c r="N14" s="683">
        <f>+SUM(N8:N13)</f>
        <v>5966795</v>
      </c>
      <c r="O14" s="686">
        <f>+SUM(O8:O13)</f>
        <v>5266524</v>
      </c>
    </row>
    <row r="15" spans="1:16" s="303" customFormat="1" ht="18.75" x14ac:dyDescent="0.3">
      <c r="A15" s="319"/>
      <c r="B15" s="320"/>
      <c r="C15" s="320"/>
      <c r="D15" s="320"/>
      <c r="E15" s="320"/>
      <c r="F15" s="320"/>
      <c r="G15" s="320"/>
      <c r="H15" s="320"/>
      <c r="I15" s="320"/>
      <c r="J15" s="320"/>
      <c r="K15" s="320"/>
      <c r="L15" s="320"/>
      <c r="M15" s="320"/>
      <c r="N15" s="320"/>
      <c r="O15" s="320"/>
    </row>
    <row r="16" spans="1:16" s="310" customFormat="1" ht="18.75" x14ac:dyDescent="0.2">
      <c r="A16" s="661"/>
      <c r="B16" s="320"/>
      <c r="C16" s="320"/>
      <c r="D16" s="320"/>
      <c r="E16" s="320"/>
      <c r="F16" s="320"/>
      <c r="G16" s="320"/>
      <c r="H16" s="320"/>
      <c r="I16" s="320"/>
      <c r="J16" s="320"/>
      <c r="K16" s="320"/>
      <c r="L16" s="320"/>
      <c r="M16" s="320"/>
      <c r="N16" s="320"/>
      <c r="O16" s="320"/>
    </row>
    <row r="17" spans="1:15" s="310" customFormat="1" x14ac:dyDescent="0.2">
      <c r="A17" s="662"/>
      <c r="B17" s="601"/>
      <c r="C17" s="602"/>
      <c r="D17" s="602"/>
      <c r="E17" s="603"/>
      <c r="F17" s="602"/>
      <c r="G17" s="602"/>
      <c r="H17" s="604"/>
      <c r="I17" s="601"/>
      <c r="J17" s="602"/>
      <c r="K17" s="602"/>
      <c r="L17" s="784" t="s">
        <v>620</v>
      </c>
      <c r="M17" s="784"/>
      <c r="N17" s="784"/>
      <c r="O17" s="784"/>
    </row>
    <row r="18" spans="1:15" s="310" customFormat="1" x14ac:dyDescent="0.2">
      <c r="A18" s="662"/>
      <c r="B18" s="601"/>
      <c r="C18" s="601"/>
      <c r="D18" s="603"/>
      <c r="E18" s="603"/>
      <c r="F18" s="603"/>
      <c r="G18" s="603"/>
      <c r="H18" s="604"/>
      <c r="I18" s="601"/>
      <c r="J18" s="605"/>
      <c r="K18" s="603"/>
      <c r="L18" s="784" t="s">
        <v>681</v>
      </c>
      <c r="M18" s="784"/>
      <c r="N18" s="784"/>
      <c r="O18" s="784"/>
    </row>
    <row r="19" spans="1:15" s="310" customFormat="1" x14ac:dyDescent="0.2">
      <c r="A19" s="662"/>
      <c r="B19" s="601"/>
      <c r="C19" s="601"/>
      <c r="D19" s="603"/>
      <c r="E19" s="603"/>
      <c r="F19" s="603"/>
      <c r="G19" s="603"/>
      <c r="H19" s="604"/>
      <c r="I19" s="601"/>
      <c r="J19" s="605"/>
      <c r="K19" s="603"/>
      <c r="L19" s="784" t="s">
        <v>416</v>
      </c>
      <c r="M19" s="784"/>
      <c r="N19" s="784"/>
      <c r="O19" s="784"/>
    </row>
    <row r="20" spans="1:15" s="310" customFormat="1" x14ac:dyDescent="0.25">
      <c r="A20" s="662"/>
      <c r="B20" s="670" t="s">
        <v>682</v>
      </c>
      <c r="C20" s="784" t="s">
        <v>683</v>
      </c>
      <c r="D20" s="784"/>
      <c r="E20" s="666"/>
      <c r="F20" s="601"/>
      <c r="G20" s="601"/>
      <c r="H20" s="604"/>
      <c r="I20" s="601"/>
      <c r="J20" s="605"/>
      <c r="K20" s="603"/>
      <c r="L20" s="784" t="s">
        <v>684</v>
      </c>
      <c r="M20" s="784"/>
      <c r="N20" s="784"/>
      <c r="O20" s="784"/>
    </row>
    <row r="21" spans="1:15" s="310" customFormat="1" x14ac:dyDescent="0.25">
      <c r="A21" s="662"/>
      <c r="B21" s="670" t="s">
        <v>671</v>
      </c>
      <c r="C21" s="784" t="s">
        <v>621</v>
      </c>
      <c r="D21" s="784"/>
      <c r="E21" s="666"/>
      <c r="F21" s="601"/>
      <c r="G21" s="601"/>
      <c r="H21" s="604"/>
      <c r="I21" s="601"/>
      <c r="J21" s="605"/>
      <c r="K21" s="603"/>
      <c r="L21" s="666"/>
      <c r="M21" s="666"/>
      <c r="N21" s="666"/>
      <c r="O21" s="666"/>
    </row>
    <row r="22" spans="1:15" s="310" customFormat="1" x14ac:dyDescent="0.25">
      <c r="A22" s="662"/>
      <c r="B22" s="670"/>
      <c r="C22" s="601"/>
      <c r="D22" s="603"/>
      <c r="E22" s="603"/>
      <c r="F22" s="601"/>
      <c r="G22" s="601"/>
      <c r="H22" s="604"/>
      <c r="I22" s="601"/>
      <c r="J22" s="601"/>
      <c r="K22" s="603"/>
      <c r="L22" s="666"/>
      <c r="M22" s="666"/>
      <c r="N22" s="666"/>
      <c r="O22" s="666"/>
    </row>
    <row r="23" spans="1:15" s="310" customFormat="1" x14ac:dyDescent="0.2">
      <c r="A23" s="662"/>
      <c r="B23" s="670"/>
      <c r="C23" s="601"/>
      <c r="D23" s="603"/>
      <c r="E23" s="603"/>
      <c r="F23" s="601"/>
      <c r="G23" s="601"/>
      <c r="H23" s="604"/>
      <c r="I23" s="601"/>
      <c r="J23" s="603"/>
      <c r="K23" s="603"/>
      <c r="L23" s="601"/>
      <c r="M23" s="601"/>
      <c r="N23" s="601"/>
      <c r="O23" s="601"/>
    </row>
    <row r="24" spans="1:15" s="310" customFormat="1" x14ac:dyDescent="0.2">
      <c r="A24" s="662"/>
      <c r="B24" s="670"/>
      <c r="C24" s="601"/>
      <c r="D24" s="603"/>
      <c r="E24" s="603"/>
      <c r="F24" s="601"/>
      <c r="G24" s="601"/>
      <c r="H24" s="604"/>
      <c r="I24" s="601"/>
      <c r="J24" s="603"/>
      <c r="K24" s="603"/>
      <c r="L24" s="601"/>
      <c r="M24" s="601"/>
      <c r="N24" s="601"/>
      <c r="O24" s="601"/>
    </row>
    <row r="25" spans="1:15" s="310" customFormat="1" x14ac:dyDescent="0.2">
      <c r="A25" s="662"/>
      <c r="B25" s="670"/>
      <c r="C25" s="601"/>
      <c r="D25" s="603"/>
      <c r="E25" s="603"/>
      <c r="F25" s="601"/>
      <c r="G25" s="601"/>
      <c r="H25" s="604"/>
      <c r="I25" s="601"/>
      <c r="J25" s="603"/>
      <c r="K25" s="603"/>
      <c r="L25" s="601"/>
      <c r="M25" s="601"/>
      <c r="N25" s="601"/>
      <c r="O25" s="601"/>
    </row>
    <row r="26" spans="1:15" s="310" customFormat="1" x14ac:dyDescent="0.2">
      <c r="A26" s="662"/>
      <c r="B26" s="670"/>
      <c r="C26" s="601"/>
      <c r="D26" s="603"/>
      <c r="E26" s="603"/>
      <c r="F26" s="601"/>
      <c r="G26" s="601"/>
      <c r="H26" s="604"/>
      <c r="I26" s="601"/>
      <c r="J26" s="603"/>
      <c r="K26" s="603"/>
      <c r="L26" s="601"/>
      <c r="M26" s="601"/>
      <c r="N26" s="601"/>
      <c r="O26" s="601"/>
    </row>
    <row r="27" spans="1:15" s="310" customFormat="1" x14ac:dyDescent="0.25">
      <c r="A27" s="662"/>
      <c r="B27" s="777" t="s">
        <v>685</v>
      </c>
      <c r="C27" s="777"/>
      <c r="D27" s="777"/>
      <c r="E27" s="666"/>
      <c r="F27" s="603"/>
      <c r="G27" s="603"/>
      <c r="H27" s="604"/>
      <c r="I27" s="601"/>
      <c r="J27" s="603" t="s">
        <v>487</v>
      </c>
      <c r="K27" s="603"/>
      <c r="L27" s="784" t="s">
        <v>686</v>
      </c>
      <c r="M27" s="784"/>
      <c r="N27" s="784"/>
      <c r="O27" s="784"/>
    </row>
    <row r="28" spans="1:15" s="310" customFormat="1" x14ac:dyDescent="0.25">
      <c r="A28" s="662"/>
      <c r="B28" s="777" t="s">
        <v>622</v>
      </c>
      <c r="C28" s="777"/>
      <c r="D28" s="777"/>
      <c r="E28" s="666"/>
      <c r="F28" s="603"/>
      <c r="G28" s="603"/>
      <c r="H28" s="604"/>
      <c r="I28" s="601"/>
      <c r="J28" s="603" t="s">
        <v>690</v>
      </c>
      <c r="K28" s="603"/>
      <c r="L28" s="784" t="s">
        <v>687</v>
      </c>
      <c r="M28" s="784"/>
      <c r="N28" s="784"/>
      <c r="O28" s="784"/>
    </row>
    <row r="29" spans="1:15" s="310" customFormat="1" x14ac:dyDescent="0.2">
      <c r="A29" s="662"/>
      <c r="B29" s="601"/>
      <c r="C29" s="601"/>
      <c r="D29" s="601"/>
      <c r="E29" s="601"/>
      <c r="F29" s="601"/>
      <c r="G29" s="601"/>
      <c r="H29" s="604"/>
      <c r="I29" s="601"/>
      <c r="J29" s="601"/>
      <c r="K29" s="603"/>
      <c r="L29" s="784" t="s">
        <v>688</v>
      </c>
      <c r="M29" s="784"/>
      <c r="N29" s="784"/>
      <c r="O29" s="784"/>
    </row>
    <row r="30" spans="1:15" ht="18.75" x14ac:dyDescent="0.3">
      <c r="A30" s="663"/>
      <c r="B30" s="663"/>
      <c r="C30" s="303"/>
      <c r="D30" s="303"/>
      <c r="E30" s="303"/>
      <c r="F30" s="303"/>
      <c r="G30" s="303"/>
      <c r="H30" s="303"/>
      <c r="I30" s="303"/>
      <c r="J30" s="303"/>
      <c r="K30" s="679"/>
      <c r="L30" s="303"/>
      <c r="M30" s="303"/>
      <c r="N30" s="303"/>
      <c r="O30" s="680"/>
    </row>
    <row r="31" spans="1:15" ht="18.75" x14ac:dyDescent="0.3">
      <c r="A31" s="679"/>
      <c r="B31" s="303"/>
      <c r="C31" s="680"/>
      <c r="D31" s="303"/>
      <c r="E31" s="303"/>
      <c r="F31" s="303"/>
      <c r="G31" s="303"/>
      <c r="H31" s="303"/>
      <c r="I31" s="303"/>
      <c r="J31" s="303"/>
      <c r="K31" s="679"/>
      <c r="L31" s="303"/>
      <c r="M31" s="303"/>
      <c r="N31" s="303"/>
      <c r="O31" s="308"/>
    </row>
    <row r="32" spans="1:15" s="303" customFormat="1" ht="18.75" x14ac:dyDescent="0.3">
      <c r="A32" s="321"/>
      <c r="B32" s="321"/>
      <c r="D32" s="322"/>
      <c r="E32" s="322"/>
      <c r="F32" s="322"/>
      <c r="G32" s="322"/>
      <c r="H32" s="323"/>
      <c r="I32" s="322"/>
      <c r="J32" s="322"/>
      <c r="K32" s="324"/>
      <c r="L32" s="322"/>
      <c r="M32" s="322"/>
      <c r="N32" s="322"/>
      <c r="O32" s="325"/>
    </row>
    <row r="33" spans="1:15" s="303" customFormat="1" ht="18.75" x14ac:dyDescent="0.3">
      <c r="A33" s="324"/>
      <c r="B33" s="322"/>
      <c r="D33" s="322"/>
      <c r="E33" s="322"/>
      <c r="F33" s="322"/>
      <c r="G33" s="322"/>
      <c r="H33" s="323"/>
      <c r="I33" s="322"/>
      <c r="J33" s="322"/>
      <c r="K33" s="324"/>
      <c r="L33" s="322"/>
      <c r="M33" s="322"/>
      <c r="N33" s="322"/>
      <c r="O33" s="326"/>
    </row>
    <row r="34" spans="1:15" s="303" customFormat="1" ht="18.75" x14ac:dyDescent="0.3">
      <c r="A34" s="324"/>
      <c r="B34" s="324"/>
      <c r="C34" s="324"/>
      <c r="D34" s="324"/>
      <c r="E34" s="324"/>
      <c r="F34" s="322"/>
      <c r="G34" s="322"/>
      <c r="H34" s="323"/>
      <c r="I34" s="322"/>
      <c r="J34" s="322"/>
      <c r="K34" s="324"/>
      <c r="L34" s="322"/>
      <c r="M34" s="322"/>
      <c r="N34" s="322"/>
      <c r="O34" s="322"/>
    </row>
    <row r="35" spans="1:15" s="303" customFormat="1" ht="18.75" x14ac:dyDescent="0.3">
      <c r="A35" s="321"/>
      <c r="B35" s="322"/>
      <c r="C35" s="322"/>
      <c r="D35" s="324"/>
      <c r="E35" s="324"/>
      <c r="F35" s="324"/>
      <c r="G35" s="324"/>
      <c r="H35" s="323"/>
      <c r="I35" s="322"/>
      <c r="J35" s="322"/>
      <c r="K35" s="324"/>
      <c r="L35" s="322"/>
      <c r="M35" s="322"/>
      <c r="N35" s="322"/>
      <c r="O35" s="322"/>
    </row>
    <row r="36" spans="1:15" x14ac:dyDescent="0.25">
      <c r="E36" s="210"/>
    </row>
    <row r="37" spans="1:15" x14ac:dyDescent="0.25">
      <c r="E37" s="210"/>
      <c r="J37" s="210">
        <f>+E37-F37</f>
        <v>0</v>
      </c>
    </row>
  </sheetData>
  <mergeCells count="20">
    <mergeCell ref="B27:D27"/>
    <mergeCell ref="L27:O27"/>
    <mergeCell ref="B28:D28"/>
    <mergeCell ref="L28:O28"/>
    <mergeCell ref="L29:O29"/>
    <mergeCell ref="A1:O1"/>
    <mergeCell ref="A2:O2"/>
    <mergeCell ref="A3:O3"/>
    <mergeCell ref="J5:L5"/>
    <mergeCell ref="A5:A7"/>
    <mergeCell ref="B5:B7"/>
    <mergeCell ref="D6:E6"/>
    <mergeCell ref="N5:O5"/>
    <mergeCell ref="C5:F5"/>
    <mergeCell ref="C21:D21"/>
    <mergeCell ref="L17:O17"/>
    <mergeCell ref="L18:O18"/>
    <mergeCell ref="L19:O19"/>
    <mergeCell ref="C20:D20"/>
    <mergeCell ref="L20:O20"/>
  </mergeCells>
  <printOptions horizontalCentered="1"/>
  <pageMargins left="0.19685039370078741" right="0.15748031496062992" top="0.78740157480314965" bottom="0.19685039370078741" header="0.62992125984251968" footer="0.15748031496062992"/>
  <pageSetup paperSize="9" scale="47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48"/>
  <sheetViews>
    <sheetView zoomScaleNormal="100" workbookViewId="0">
      <selection activeCell="K100" sqref="K100"/>
    </sheetView>
  </sheetViews>
  <sheetFormatPr defaultColWidth="9.140625" defaultRowHeight="12.75" customHeight="1" x14ac:dyDescent="0.2"/>
  <cols>
    <col min="1" max="1" width="4.42578125" style="1" customWidth="1"/>
    <col min="2" max="2" width="43.85546875" style="1" customWidth="1"/>
    <col min="3" max="3" width="14.140625" style="1" customWidth="1"/>
    <col min="4" max="4" width="18.42578125" style="5" bestFit="1" customWidth="1"/>
    <col min="5" max="5" width="1.5703125" style="1" bestFit="1" customWidth="1"/>
    <col min="6" max="6" width="17.28515625" style="1" bestFit="1" customWidth="1"/>
    <col min="7" max="8" width="9.140625" style="1"/>
    <col min="9" max="9" width="11" style="1" bestFit="1" customWidth="1"/>
    <col min="10" max="10" width="9.5703125" style="1" bestFit="1" customWidth="1"/>
    <col min="11" max="11" width="10.140625" style="1" bestFit="1" customWidth="1"/>
    <col min="12" max="16384" width="9.140625" style="1"/>
  </cols>
  <sheetData>
    <row r="1" spans="1:8" x14ac:dyDescent="0.2">
      <c r="A1" s="805" t="s">
        <v>654</v>
      </c>
      <c r="B1" s="805"/>
      <c r="C1" s="805"/>
      <c r="D1" s="805"/>
      <c r="E1" s="805"/>
      <c r="F1" s="805"/>
      <c r="G1" s="216"/>
      <c r="H1" s="216"/>
    </row>
    <row r="2" spans="1:8" ht="14.25" x14ac:dyDescent="0.2">
      <c r="A2" s="762" t="str">
        <f>'MCA BS'!A2:E2</f>
        <v>M.C.A PROGRAMME</v>
      </c>
      <c r="B2" s="762"/>
      <c r="C2" s="762"/>
      <c r="D2" s="762"/>
      <c r="E2" s="762"/>
      <c r="F2" s="762"/>
    </row>
    <row r="3" spans="1:8" ht="15.75" customHeight="1" thickBot="1" x14ac:dyDescent="0.3">
      <c r="A3" s="761" t="s">
        <v>561</v>
      </c>
      <c r="B3" s="761"/>
      <c r="C3" s="761"/>
      <c r="D3" s="761"/>
      <c r="E3" s="761"/>
      <c r="F3" s="761"/>
    </row>
    <row r="4" spans="1:8" ht="15.75" x14ac:dyDescent="0.25">
      <c r="A4" s="2"/>
      <c r="B4" s="753" t="s">
        <v>422</v>
      </c>
      <c r="C4" s="754"/>
      <c r="D4" s="501" t="s">
        <v>2</v>
      </c>
      <c r="E4" s="224"/>
      <c r="F4" s="502" t="s">
        <v>2</v>
      </c>
    </row>
    <row r="5" spans="1:8" ht="15.75" x14ac:dyDescent="0.25">
      <c r="A5" s="2"/>
      <c r="B5" s="755"/>
      <c r="C5" s="756"/>
      <c r="D5" s="648" t="s">
        <v>660</v>
      </c>
      <c r="E5" s="649"/>
      <c r="F5" s="650" t="s">
        <v>648</v>
      </c>
    </row>
    <row r="6" spans="1:8" ht="15.75" x14ac:dyDescent="0.25">
      <c r="A6" s="2"/>
      <c r="B6" s="757"/>
      <c r="C6" s="758"/>
      <c r="D6" s="338" t="s">
        <v>495</v>
      </c>
      <c r="E6" s="184"/>
      <c r="F6" s="503" t="s">
        <v>495</v>
      </c>
    </row>
    <row r="7" spans="1:8" ht="15.75" x14ac:dyDescent="0.25">
      <c r="A7" s="2"/>
      <c r="B7" s="504" t="s">
        <v>453</v>
      </c>
      <c r="C7" s="707"/>
      <c r="D7" s="182"/>
      <c r="E7" s="185"/>
      <c r="F7" s="505"/>
    </row>
    <row r="8" spans="1:8" ht="15.75" x14ac:dyDescent="0.25">
      <c r="A8" s="2"/>
      <c r="B8" s="220" t="s">
        <v>562</v>
      </c>
      <c r="C8" s="707"/>
      <c r="D8" s="217">
        <v>12649350.220000001</v>
      </c>
      <c r="E8" s="211"/>
      <c r="F8" s="513">
        <v>10967205</v>
      </c>
    </row>
    <row r="9" spans="1:8" ht="15.75" customHeight="1" x14ac:dyDescent="0.25">
      <c r="A9" s="2"/>
      <c r="B9" s="221"/>
      <c r="C9" s="708"/>
      <c r="D9" s="217"/>
      <c r="E9" s="211"/>
      <c r="F9" s="506"/>
    </row>
    <row r="10" spans="1:8" ht="16.5" thickBot="1" x14ac:dyDescent="0.3">
      <c r="A10" s="2"/>
      <c r="B10" s="221"/>
      <c r="C10" s="708"/>
      <c r="D10" s="492">
        <f>SUM(D7:D9)</f>
        <v>12649350.220000001</v>
      </c>
      <c r="E10" s="493"/>
      <c r="F10" s="507">
        <f>SUM(F7,F8,F9)</f>
        <v>10967205</v>
      </c>
    </row>
    <row r="11" spans="1:8" ht="15.75" x14ac:dyDescent="0.25">
      <c r="A11" s="2"/>
      <c r="B11" s="222" t="s">
        <v>563</v>
      </c>
      <c r="C11" s="708"/>
      <c r="D11" s="217"/>
      <c r="E11" s="212"/>
      <c r="F11" s="506"/>
    </row>
    <row r="12" spans="1:8" ht="15.75" x14ac:dyDescent="0.25">
      <c r="A12" s="2"/>
      <c r="B12" s="221" t="s">
        <v>644</v>
      </c>
      <c r="C12" s="708"/>
      <c r="D12" s="638">
        <f>'MCA PL'!C34</f>
        <v>-4303373</v>
      </c>
      <c r="E12" s="211"/>
      <c r="F12" s="709">
        <f>'MCA PL'!E34</f>
        <v>1682145.58</v>
      </c>
    </row>
    <row r="13" spans="1:8" ht="16.5" thickBot="1" x14ac:dyDescent="0.3">
      <c r="A13" s="2"/>
      <c r="B13" s="221"/>
      <c r="C13" s="708"/>
      <c r="D13" s="639">
        <f>SUM(D12:D12)</f>
        <v>-4303373</v>
      </c>
      <c r="E13" s="494"/>
      <c r="F13" s="507">
        <f>SUM(F11:F12)</f>
        <v>1682145.58</v>
      </c>
    </row>
    <row r="14" spans="1:8" ht="15.75" x14ac:dyDescent="0.25">
      <c r="A14" s="2"/>
      <c r="B14" s="222" t="s">
        <v>456</v>
      </c>
      <c r="C14" s="708"/>
      <c r="D14" s="632"/>
      <c r="E14" s="211"/>
      <c r="F14" s="506"/>
    </row>
    <row r="15" spans="1:8" ht="15.75" x14ac:dyDescent="0.25">
      <c r="A15" s="2"/>
      <c r="B15" s="221" t="s">
        <v>496</v>
      </c>
      <c r="C15" s="708"/>
      <c r="D15" s="217">
        <v>0</v>
      </c>
      <c r="E15" s="211"/>
      <c r="F15" s="426">
        <v>0</v>
      </c>
    </row>
    <row r="16" spans="1:8" ht="15.75" x14ac:dyDescent="0.25">
      <c r="A16" s="2"/>
      <c r="B16" s="221" t="s">
        <v>454</v>
      </c>
      <c r="C16" s="708"/>
      <c r="D16" s="217">
        <v>0</v>
      </c>
      <c r="E16" s="211"/>
      <c r="F16" s="513">
        <v>0</v>
      </c>
    </row>
    <row r="17" spans="1:9" ht="16.5" thickBot="1" x14ac:dyDescent="0.3">
      <c r="A17" s="2"/>
      <c r="B17" s="222"/>
      <c r="C17" s="708"/>
      <c r="D17" s="492">
        <f>SUM(D15:D16)</f>
        <v>0</v>
      </c>
      <c r="E17" s="494"/>
      <c r="F17" s="507">
        <f>SUM(F14:F16)</f>
        <v>0</v>
      </c>
    </row>
    <row r="18" spans="1:9" ht="15.75" x14ac:dyDescent="0.25">
      <c r="A18" s="2"/>
      <c r="B18" s="222" t="s">
        <v>457</v>
      </c>
      <c r="C18" s="708"/>
      <c r="D18" s="217"/>
      <c r="E18" s="211"/>
      <c r="F18" s="506"/>
    </row>
    <row r="19" spans="1:9" ht="15.75" x14ac:dyDescent="0.25">
      <c r="A19" s="2"/>
      <c r="B19" s="221" t="s">
        <v>455</v>
      </c>
      <c r="C19" s="179"/>
      <c r="D19" s="217">
        <v>0</v>
      </c>
      <c r="E19" s="211"/>
      <c r="F19" s="513">
        <v>0</v>
      </c>
    </row>
    <row r="20" spans="1:9" ht="15.75" x14ac:dyDescent="0.25">
      <c r="A20" s="2"/>
      <c r="B20" s="221"/>
      <c r="C20" s="179"/>
      <c r="D20" s="635"/>
      <c r="E20" s="211"/>
      <c r="F20" s="508"/>
    </row>
    <row r="21" spans="1:9" ht="16.5" thickBot="1" x14ac:dyDescent="0.3">
      <c r="A21" s="2"/>
      <c r="B21" s="221"/>
      <c r="C21" s="179"/>
      <c r="D21" s="492">
        <f>SUM(D19:D20)</f>
        <v>0</v>
      </c>
      <c r="E21" s="494"/>
      <c r="F21" s="507">
        <f>SUM(F18:F20)</f>
        <v>0</v>
      </c>
    </row>
    <row r="22" spans="1:9" ht="15.75" x14ac:dyDescent="0.25">
      <c r="A22" s="2"/>
      <c r="B22" s="840" t="s">
        <v>564</v>
      </c>
      <c r="C22" s="841"/>
      <c r="D22" s="635"/>
      <c r="E22" s="211"/>
      <c r="F22" s="508"/>
    </row>
    <row r="23" spans="1:9" ht="15.75" x14ac:dyDescent="0.25">
      <c r="A23" s="2"/>
      <c r="B23" s="221" t="s">
        <v>458</v>
      </c>
      <c r="C23" s="710"/>
      <c r="D23" s="217">
        <v>0</v>
      </c>
      <c r="E23" s="211"/>
      <c r="F23" s="426">
        <v>0</v>
      </c>
    </row>
    <row r="24" spans="1:9" ht="15.75" x14ac:dyDescent="0.25">
      <c r="A24" s="2"/>
      <c r="B24" s="221" t="s">
        <v>565</v>
      </c>
      <c r="C24" s="710"/>
      <c r="D24" s="217">
        <f>422850+709794</f>
        <v>1132644</v>
      </c>
      <c r="E24" s="211"/>
      <c r="F24" s="513">
        <v>914541</v>
      </c>
    </row>
    <row r="25" spans="1:9" ht="15.75" x14ac:dyDescent="0.25">
      <c r="A25" s="2"/>
      <c r="B25" s="221" t="s">
        <v>566</v>
      </c>
      <c r="C25" s="710"/>
      <c r="D25" s="217"/>
      <c r="E25" s="211"/>
      <c r="F25" s="426">
        <v>12471</v>
      </c>
      <c r="I25" s="219"/>
    </row>
    <row r="26" spans="1:9" ht="15.75" x14ac:dyDescent="0.25">
      <c r="A26" s="2"/>
      <c r="B26" s="221" t="s">
        <v>486</v>
      </c>
      <c r="C26" s="710"/>
      <c r="D26" s="217">
        <v>17548013.5</v>
      </c>
      <c r="E26" s="711"/>
      <c r="F26" s="513">
        <v>17375940</v>
      </c>
    </row>
    <row r="27" spans="1:9" ht="15.75" x14ac:dyDescent="0.25">
      <c r="A27" s="2"/>
      <c r="B27" s="221"/>
      <c r="C27" s="710"/>
      <c r="D27" s="636"/>
      <c r="E27" s="213"/>
      <c r="F27" s="509"/>
    </row>
    <row r="28" spans="1:9" ht="16.5" thickBot="1" x14ac:dyDescent="0.3">
      <c r="A28" s="2"/>
      <c r="B28" s="220"/>
      <c r="C28" s="708"/>
      <c r="D28" s="492">
        <f>SUM(D23:D27)</f>
        <v>18680657.5</v>
      </c>
      <c r="E28" s="495"/>
      <c r="F28" s="507">
        <f>SUM(F23:F26)</f>
        <v>18302952</v>
      </c>
    </row>
    <row r="29" spans="1:9" ht="15.75" x14ac:dyDescent="0.25">
      <c r="A29" s="2"/>
      <c r="B29" s="510" t="s">
        <v>460</v>
      </c>
      <c r="C29" s="708"/>
      <c r="D29" s="637"/>
      <c r="E29" s="712"/>
      <c r="F29" s="511"/>
    </row>
    <row r="30" spans="1:9" ht="15.75" x14ac:dyDescent="0.25">
      <c r="A30" s="2"/>
      <c r="B30" s="512" t="s">
        <v>461</v>
      </c>
      <c r="C30" s="713"/>
      <c r="D30" s="652">
        <f>+'MCA  DEP-2425'!N67</f>
        <v>5266524</v>
      </c>
      <c r="E30" s="654"/>
      <c r="F30" s="714">
        <f>+'MCA  DEP-2425'!M67</f>
        <v>5966795</v>
      </c>
    </row>
    <row r="31" spans="1:9" x14ac:dyDescent="0.2">
      <c r="A31" s="2"/>
      <c r="B31" s="514"/>
      <c r="C31" s="713"/>
      <c r="D31" s="637"/>
      <c r="E31" s="715"/>
      <c r="F31" s="515"/>
    </row>
    <row r="32" spans="1:9" ht="16.5" thickBot="1" x14ac:dyDescent="0.3">
      <c r="A32" s="2"/>
      <c r="B32" s="514"/>
      <c r="C32" s="713"/>
      <c r="D32" s="531">
        <f>SUM(D30:D31)</f>
        <v>5266524</v>
      </c>
      <c r="E32" s="496"/>
      <c r="F32" s="516">
        <f>SUM(F30)</f>
        <v>5966795</v>
      </c>
    </row>
    <row r="33" spans="1:6" s="90" customFormat="1" ht="15.75" x14ac:dyDescent="0.25">
      <c r="A33" s="11"/>
      <c r="B33" s="222" t="s">
        <v>464</v>
      </c>
      <c r="C33" s="708"/>
      <c r="D33" s="347" t="s">
        <v>0</v>
      </c>
      <c r="E33" s="711"/>
      <c r="F33" s="517" t="s">
        <v>0</v>
      </c>
    </row>
    <row r="34" spans="1:6" s="90" customFormat="1" ht="15.75" x14ac:dyDescent="0.25">
      <c r="A34" s="11"/>
      <c r="B34" s="221" t="s">
        <v>462</v>
      </c>
      <c r="C34" s="708"/>
      <c r="D34" s="218">
        <v>2241493</v>
      </c>
      <c r="E34" s="711"/>
      <c r="F34" s="426">
        <v>2146844</v>
      </c>
    </row>
    <row r="35" spans="1:6" s="90" customFormat="1" ht="15.75" x14ac:dyDescent="0.25">
      <c r="A35" s="11"/>
      <c r="B35" s="221" t="s">
        <v>567</v>
      </c>
      <c r="C35" s="708"/>
      <c r="D35" s="218">
        <v>3877024</v>
      </c>
      <c r="E35" s="711"/>
      <c r="F35" s="426">
        <v>3877024</v>
      </c>
    </row>
    <row r="36" spans="1:6" s="90" customFormat="1" ht="15.75" x14ac:dyDescent="0.25">
      <c r="A36" s="11"/>
      <c r="B36" s="221"/>
      <c r="C36" s="708"/>
      <c r="D36" s="347"/>
      <c r="E36" s="711"/>
      <c r="F36" s="517"/>
    </row>
    <row r="37" spans="1:6" s="90" customFormat="1" ht="16.5" thickBot="1" x14ac:dyDescent="0.3">
      <c r="A37" s="11"/>
      <c r="B37" s="221"/>
      <c r="C37" s="708"/>
      <c r="D37" s="498">
        <f>SUM(D34:D36)</f>
        <v>6118517</v>
      </c>
      <c r="E37" s="500"/>
      <c r="F37" s="516">
        <f>SUM(F34:F35)</f>
        <v>6023868</v>
      </c>
    </row>
    <row r="38" spans="1:6" s="90" customFormat="1" ht="15.75" x14ac:dyDescent="0.25">
      <c r="A38" s="11"/>
      <c r="B38" s="222" t="s">
        <v>568</v>
      </c>
      <c r="C38" s="708"/>
      <c r="D38" s="347"/>
      <c r="E38" s="711"/>
      <c r="F38" s="517"/>
    </row>
    <row r="39" spans="1:6" s="90" customFormat="1" ht="15.75" x14ac:dyDescent="0.25">
      <c r="A39" s="11"/>
      <c r="B39" s="221" t="s">
        <v>646</v>
      </c>
      <c r="C39" s="708"/>
      <c r="D39" s="218">
        <v>10000</v>
      </c>
      <c r="E39" s="711"/>
      <c r="F39" s="426">
        <v>0</v>
      </c>
    </row>
    <row r="40" spans="1:6" s="90" customFormat="1" ht="15.75" x14ac:dyDescent="0.25">
      <c r="A40" s="11"/>
      <c r="B40" s="221" t="s">
        <v>465</v>
      </c>
      <c r="C40" s="708"/>
      <c r="D40" s="218">
        <v>3397500</v>
      </c>
      <c r="E40" s="711"/>
      <c r="F40" s="426">
        <v>2875000</v>
      </c>
    </row>
    <row r="41" spans="1:6" s="90" customFormat="1" ht="15.75" x14ac:dyDescent="0.25">
      <c r="A41" s="11"/>
      <c r="B41" s="221" t="s">
        <v>544</v>
      </c>
      <c r="C41" s="708"/>
      <c r="D41" s="218">
        <v>383409</v>
      </c>
      <c r="E41" s="711"/>
      <c r="F41" s="426">
        <v>123399</v>
      </c>
    </row>
    <row r="42" spans="1:6" s="90" customFormat="1" ht="15.75" x14ac:dyDescent="0.25">
      <c r="A42" s="11"/>
      <c r="B42" s="221" t="s">
        <v>486</v>
      </c>
      <c r="C42" s="708"/>
      <c r="D42" s="218">
        <v>10880558.4</v>
      </c>
      <c r="E42" s="711"/>
      <c r="F42" s="426">
        <v>9117725</v>
      </c>
    </row>
    <row r="43" spans="1:6" s="90" customFormat="1" ht="16.5" thickBot="1" x14ac:dyDescent="0.3">
      <c r="A43" s="11"/>
      <c r="B43" s="221"/>
      <c r="C43" s="708"/>
      <c r="D43" s="498">
        <f>SUM(D39:D42)</f>
        <v>14671467.4</v>
      </c>
      <c r="E43" s="494"/>
      <c r="F43" s="516">
        <f>SUM(F39:F42)</f>
        <v>12116124</v>
      </c>
    </row>
    <row r="44" spans="1:6" s="90" customFormat="1" ht="15.75" x14ac:dyDescent="0.25">
      <c r="A44" s="11"/>
      <c r="B44" s="222" t="s">
        <v>467</v>
      </c>
      <c r="C44" s="708"/>
      <c r="D44" s="347"/>
      <c r="E44" s="711"/>
      <c r="F44" s="517"/>
    </row>
    <row r="45" spans="1:6" s="90" customFormat="1" ht="15.75" x14ac:dyDescent="0.25">
      <c r="A45" s="11"/>
      <c r="B45" s="221" t="s">
        <v>468</v>
      </c>
      <c r="C45" s="708"/>
      <c r="D45" s="218">
        <v>0</v>
      </c>
      <c r="E45" s="716"/>
      <c r="F45" s="426">
        <v>0</v>
      </c>
    </row>
    <row r="46" spans="1:6" s="90" customFormat="1" ht="15.75" x14ac:dyDescent="0.25">
      <c r="A46" s="11"/>
      <c r="B46" s="221" t="s">
        <v>469</v>
      </c>
      <c r="C46" s="708"/>
      <c r="D46" s="218">
        <v>970126.32</v>
      </c>
      <c r="E46" s="716"/>
      <c r="F46" s="426">
        <v>6845515.3200000003</v>
      </c>
    </row>
    <row r="47" spans="1:6" s="90" customFormat="1" ht="16.5" thickBot="1" x14ac:dyDescent="0.3">
      <c r="A47" s="11"/>
      <c r="B47" s="518"/>
      <c r="C47" s="519"/>
      <c r="D47" s="498">
        <f>SUM(D45:D46)</f>
        <v>970126.32</v>
      </c>
      <c r="E47" s="499"/>
      <c r="F47" s="516">
        <f>SUM(F45:F46)</f>
        <v>6845515.3200000003</v>
      </c>
    </row>
    <row r="48" spans="1:6" s="90" customFormat="1" ht="15.75" x14ac:dyDescent="0.25">
      <c r="A48" s="11"/>
      <c r="B48" s="12"/>
      <c r="C48" s="12"/>
      <c r="D48" s="633"/>
      <c r="E48" s="237"/>
      <c r="F48" s="333"/>
    </row>
    <row r="49" spans="1:6" s="90" customFormat="1" ht="15.75" x14ac:dyDescent="0.25">
      <c r="A49" s="11"/>
      <c r="B49" s="12"/>
      <c r="C49" s="12"/>
      <c r="D49" s="633"/>
      <c r="E49" s="237"/>
      <c r="F49" s="333"/>
    </row>
    <row r="50" spans="1:6" s="90" customFormat="1" ht="15.75" x14ac:dyDescent="0.25">
      <c r="A50" s="11"/>
      <c r="B50" s="12"/>
      <c r="C50" s="12"/>
      <c r="D50" s="633"/>
      <c r="E50" s="237"/>
      <c r="F50" s="333"/>
    </row>
    <row r="51" spans="1:6" s="90" customFormat="1" ht="15.75" x14ac:dyDescent="0.25">
      <c r="A51" s="11"/>
      <c r="B51" s="12"/>
      <c r="C51" s="12"/>
      <c r="D51" s="633"/>
      <c r="E51" s="237"/>
      <c r="F51" s="333"/>
    </row>
    <row r="52" spans="1:6" s="90" customFormat="1" ht="15.75" x14ac:dyDescent="0.25">
      <c r="A52" s="11"/>
      <c r="B52" s="12"/>
      <c r="C52" s="12"/>
      <c r="D52" s="633"/>
      <c r="E52" s="237"/>
      <c r="F52" s="333"/>
    </row>
    <row r="53" spans="1:6" s="90" customFormat="1" ht="15" x14ac:dyDescent="0.2">
      <c r="A53" s="805" t="s">
        <v>560</v>
      </c>
      <c r="B53" s="805"/>
      <c r="C53" s="805"/>
      <c r="D53" s="805"/>
      <c r="E53" s="805"/>
      <c r="F53" s="805"/>
    </row>
    <row r="54" spans="1:6" s="90" customFormat="1" ht="15" x14ac:dyDescent="0.2">
      <c r="A54" s="762" t="str">
        <f>'MCA BS'!A2:E2</f>
        <v>M.C.A PROGRAMME</v>
      </c>
      <c r="B54" s="762"/>
      <c r="C54" s="762"/>
      <c r="D54" s="762"/>
      <c r="E54" s="762"/>
      <c r="F54" s="762"/>
    </row>
    <row r="55" spans="1:6" s="90" customFormat="1" ht="16.5" thickBot="1" x14ac:dyDescent="0.3">
      <c r="A55" s="761" t="s">
        <v>561</v>
      </c>
      <c r="B55" s="761"/>
      <c r="C55" s="761"/>
      <c r="D55" s="761"/>
      <c r="E55" s="761"/>
      <c r="F55" s="761"/>
    </row>
    <row r="56" spans="1:6" s="90" customFormat="1" ht="15.75" x14ac:dyDescent="0.25">
      <c r="A56" s="11"/>
      <c r="B56" s="753" t="s">
        <v>422</v>
      </c>
      <c r="C56" s="754"/>
      <c r="D56" s="501" t="s">
        <v>14</v>
      </c>
      <c r="E56" s="520"/>
      <c r="F56" s="521" t="s">
        <v>14</v>
      </c>
    </row>
    <row r="57" spans="1:6" s="90" customFormat="1" ht="15.75" x14ac:dyDescent="0.25">
      <c r="A57" s="11"/>
      <c r="B57" s="755"/>
      <c r="C57" s="756"/>
      <c r="D57" s="328" t="s">
        <v>15</v>
      </c>
      <c r="E57" s="717"/>
      <c r="F57" s="351" t="s">
        <v>15</v>
      </c>
    </row>
    <row r="58" spans="1:6" s="90" customFormat="1" ht="15.75" x14ac:dyDescent="0.25">
      <c r="A58" s="11"/>
      <c r="B58" s="757"/>
      <c r="C58" s="758"/>
      <c r="D58" s="334" t="str">
        <f>D5</f>
        <v>31.03.2025</v>
      </c>
      <c r="E58" s="335"/>
      <c r="F58" s="522" t="str">
        <f>F5</f>
        <v>31.03.2024</v>
      </c>
    </row>
    <row r="59" spans="1:6" s="90" customFormat="1" ht="15.75" x14ac:dyDescent="0.25">
      <c r="A59" s="11"/>
      <c r="B59" s="221"/>
      <c r="C59" s="180"/>
      <c r="D59" s="619" t="s">
        <v>548</v>
      </c>
      <c r="E59" s="717"/>
      <c r="F59" s="523" t="s">
        <v>549</v>
      </c>
    </row>
    <row r="60" spans="1:6" s="90" customFormat="1" ht="15.75" x14ac:dyDescent="0.25">
      <c r="A60" s="11"/>
      <c r="B60" s="222" t="s">
        <v>570</v>
      </c>
      <c r="C60" s="180"/>
      <c r="D60" s="329"/>
      <c r="E60" s="708"/>
      <c r="F60" s="524"/>
    </row>
    <row r="61" spans="1:6" s="90" customFormat="1" ht="15.75" x14ac:dyDescent="0.25">
      <c r="A61" s="11"/>
      <c r="B61" s="221" t="s">
        <v>445</v>
      </c>
      <c r="C61" s="180"/>
      <c r="D61" s="218">
        <v>9960100</v>
      </c>
      <c r="E61" s="718"/>
      <c r="F61" s="426">
        <v>10902100</v>
      </c>
    </row>
    <row r="62" spans="1:6" s="90" customFormat="1" ht="15.75" x14ac:dyDescent="0.25">
      <c r="A62" s="11"/>
      <c r="B62" s="221" t="s">
        <v>450</v>
      </c>
      <c r="C62" s="180"/>
      <c r="D62" s="217">
        <v>0</v>
      </c>
      <c r="E62" s="718"/>
      <c r="F62" s="513">
        <v>0</v>
      </c>
    </row>
    <row r="63" spans="1:6" s="90" customFormat="1" ht="15.75" x14ac:dyDescent="0.25">
      <c r="A63" s="11"/>
      <c r="B63" s="221" t="s">
        <v>449</v>
      </c>
      <c r="C63" s="180"/>
      <c r="D63" s="217">
        <v>0</v>
      </c>
      <c r="E63" s="718"/>
      <c r="F63" s="513">
        <v>0</v>
      </c>
    </row>
    <row r="64" spans="1:6" s="90" customFormat="1" ht="6" customHeight="1" x14ac:dyDescent="0.25">
      <c r="A64" s="11"/>
      <c r="B64" s="221"/>
      <c r="C64" s="180"/>
      <c r="D64" s="347"/>
      <c r="E64" s="718"/>
      <c r="F64" s="517"/>
    </row>
    <row r="65" spans="1:11" s="90" customFormat="1" ht="16.5" thickBot="1" x14ac:dyDescent="0.3">
      <c r="A65" s="11"/>
      <c r="B65" s="221"/>
      <c r="C65" s="180"/>
      <c r="D65" s="497">
        <f>SUM(D61:D63)</f>
        <v>9960100</v>
      </c>
      <c r="E65" s="616"/>
      <c r="F65" s="516">
        <f>SUM(F61:F63)</f>
        <v>10902100</v>
      </c>
    </row>
    <row r="66" spans="1:11" s="90" customFormat="1" ht="15.75" x14ac:dyDescent="0.25">
      <c r="A66" s="11"/>
      <c r="B66" s="222" t="s">
        <v>571</v>
      </c>
      <c r="C66" s="180"/>
      <c r="D66" s="347"/>
      <c r="E66" s="718"/>
      <c r="F66" s="517"/>
    </row>
    <row r="67" spans="1:11" s="90" customFormat="1" ht="15.75" x14ac:dyDescent="0.25">
      <c r="A67" s="11"/>
      <c r="B67" s="221" t="s">
        <v>572</v>
      </c>
      <c r="C67" s="180"/>
      <c r="D67" s="218">
        <v>554995</v>
      </c>
      <c r="E67" s="718"/>
      <c r="F67" s="426">
        <v>486519</v>
      </c>
    </row>
    <row r="68" spans="1:11" s="90" customFormat="1" ht="16.5" thickBot="1" x14ac:dyDescent="0.3">
      <c r="A68" s="11"/>
      <c r="B68" s="221"/>
      <c r="C68" s="180"/>
      <c r="D68" s="497">
        <f>SUM(D67:D67)</f>
        <v>554995</v>
      </c>
      <c r="E68" s="616"/>
      <c r="F68" s="516">
        <f>SUM(F67:F67)</f>
        <v>486519</v>
      </c>
    </row>
    <row r="69" spans="1:11" s="90" customFormat="1" ht="16.5" customHeight="1" x14ac:dyDescent="0.25">
      <c r="A69" s="11"/>
      <c r="B69" s="222" t="s">
        <v>574</v>
      </c>
      <c r="C69" s="180"/>
      <c r="D69" s="347"/>
      <c r="E69" s="718"/>
      <c r="F69" s="517"/>
      <c r="I69" s="330"/>
    </row>
    <row r="70" spans="1:11" s="90" customFormat="1" ht="15.75" x14ac:dyDescent="0.25">
      <c r="A70" s="11"/>
      <c r="B70" s="221" t="s">
        <v>573</v>
      </c>
      <c r="C70" s="180"/>
      <c r="D70" s="218">
        <v>2546</v>
      </c>
      <c r="E70" s="718"/>
      <c r="F70" s="426">
        <v>5101</v>
      </c>
    </row>
    <row r="71" spans="1:11" s="90" customFormat="1" ht="16.5" thickBot="1" x14ac:dyDescent="0.3">
      <c r="A71" s="11"/>
      <c r="B71" s="221"/>
      <c r="C71" s="180"/>
      <c r="D71" s="497">
        <f>SUM(D70:D70)</f>
        <v>2546</v>
      </c>
      <c r="E71" s="617"/>
      <c r="F71" s="516">
        <f>SUM(F70:F70)</f>
        <v>5101</v>
      </c>
    </row>
    <row r="72" spans="1:11" s="90" customFormat="1" ht="15.75" x14ac:dyDescent="0.25">
      <c r="A72" s="11"/>
      <c r="B72" s="222" t="s">
        <v>575</v>
      </c>
      <c r="C72" s="708"/>
      <c r="D72" s="347"/>
      <c r="E72" s="708"/>
      <c r="F72" s="524"/>
    </row>
    <row r="73" spans="1:11" s="90" customFormat="1" ht="15.75" x14ac:dyDescent="0.25">
      <c r="A73" s="11"/>
      <c r="B73" s="221" t="s">
        <v>478</v>
      </c>
      <c r="C73" s="708"/>
      <c r="D73" s="218">
        <v>8197244</v>
      </c>
      <c r="E73" s="716"/>
      <c r="F73" s="426">
        <f>5648792+3139</f>
        <v>5651931</v>
      </c>
    </row>
    <row r="74" spans="1:11" s="90" customFormat="1" ht="15.75" x14ac:dyDescent="0.25">
      <c r="A74" s="11"/>
      <c r="B74" s="221" t="s">
        <v>479</v>
      </c>
      <c r="C74" s="708"/>
      <c r="D74" s="218">
        <v>270916</v>
      </c>
      <c r="E74" s="716"/>
      <c r="F74" s="426">
        <v>249026</v>
      </c>
    </row>
    <row r="75" spans="1:11" s="90" customFormat="1" ht="15.75" x14ac:dyDescent="0.25">
      <c r="A75" s="11"/>
      <c r="B75" s="357" t="s">
        <v>652</v>
      </c>
      <c r="C75" s="708"/>
      <c r="D75" s="218">
        <v>3159035</v>
      </c>
      <c r="E75" s="716"/>
      <c r="F75" s="426">
        <v>0</v>
      </c>
    </row>
    <row r="76" spans="1:11" s="90" customFormat="1" ht="15.75" x14ac:dyDescent="0.25">
      <c r="A76" s="11"/>
      <c r="B76" s="357" t="s">
        <v>576</v>
      </c>
      <c r="C76" s="719"/>
      <c r="D76" s="568">
        <v>0</v>
      </c>
      <c r="E76" s="380"/>
      <c r="F76" s="480">
        <v>0</v>
      </c>
    </row>
    <row r="77" spans="1:11" s="90" customFormat="1" ht="16.5" thickBot="1" x14ac:dyDescent="0.3">
      <c r="A77" s="11"/>
      <c r="B77" s="221"/>
      <c r="C77" s="708"/>
      <c r="D77" s="498">
        <f>SUM(D73:D76)</f>
        <v>11627195</v>
      </c>
      <c r="E77" s="498">
        <f t="shared" ref="E77:F77" si="0">SUM(E73:E76)</f>
        <v>0</v>
      </c>
      <c r="F77" s="530">
        <f t="shared" si="0"/>
        <v>5900957</v>
      </c>
    </row>
    <row r="78" spans="1:11" s="90" customFormat="1" ht="15.75" x14ac:dyDescent="0.25">
      <c r="A78" s="11"/>
      <c r="B78" s="222" t="s">
        <v>577</v>
      </c>
      <c r="C78" s="708"/>
      <c r="D78" s="347"/>
      <c r="E78" s="716"/>
      <c r="F78" s="508"/>
    </row>
    <row r="79" spans="1:11" s="90" customFormat="1" ht="15.75" x14ac:dyDescent="0.25">
      <c r="A79" s="11"/>
      <c r="B79" s="221" t="s">
        <v>578</v>
      </c>
      <c r="C79" s="708"/>
      <c r="D79" s="218">
        <v>92792</v>
      </c>
      <c r="E79" s="716"/>
      <c r="F79" s="426">
        <v>110845</v>
      </c>
      <c r="K79" s="331"/>
    </row>
    <row r="80" spans="1:11" s="90" customFormat="1" ht="15.75" x14ac:dyDescent="0.25">
      <c r="A80" s="11"/>
      <c r="B80" s="357" t="s">
        <v>616</v>
      </c>
      <c r="C80" s="708"/>
      <c r="D80" s="218">
        <v>0</v>
      </c>
      <c r="E80" s="716"/>
      <c r="F80" s="426">
        <v>0</v>
      </c>
      <c r="K80" s="331"/>
    </row>
    <row r="81" spans="1:6" s="90" customFormat="1" ht="15.75" x14ac:dyDescent="0.25">
      <c r="A81" s="11"/>
      <c r="B81" s="221" t="s">
        <v>618</v>
      </c>
      <c r="C81" s="708"/>
      <c r="D81" s="218">
        <v>762050</v>
      </c>
      <c r="E81" s="716"/>
      <c r="F81" s="426">
        <v>1380280</v>
      </c>
    </row>
    <row r="82" spans="1:6" s="90" customFormat="1" ht="15.75" x14ac:dyDescent="0.25">
      <c r="A82" s="11"/>
      <c r="B82" s="221" t="s">
        <v>482</v>
      </c>
      <c r="C82" s="708"/>
      <c r="D82" s="218">
        <f>44533+1830</f>
        <v>46363</v>
      </c>
      <c r="E82" s="716"/>
      <c r="F82" s="426">
        <f>10128+1841+413735</f>
        <v>425704</v>
      </c>
    </row>
    <row r="83" spans="1:6" s="90" customFormat="1" ht="15.75" x14ac:dyDescent="0.25">
      <c r="A83" s="11"/>
      <c r="B83" s="221" t="s">
        <v>579</v>
      </c>
      <c r="C83" s="708"/>
      <c r="D83" s="218">
        <v>59309</v>
      </c>
      <c r="E83" s="716"/>
      <c r="F83" s="426">
        <v>54600</v>
      </c>
    </row>
    <row r="84" spans="1:6" s="90" customFormat="1" ht="15.75" x14ac:dyDescent="0.25">
      <c r="A84" s="11"/>
      <c r="B84" s="357" t="s">
        <v>624</v>
      </c>
      <c r="C84" s="708"/>
      <c r="D84" s="615">
        <v>0</v>
      </c>
      <c r="E84" s="716"/>
      <c r="F84" s="509">
        <v>0</v>
      </c>
    </row>
    <row r="85" spans="1:6" s="90" customFormat="1" ht="16.5" thickBot="1" x14ac:dyDescent="0.3">
      <c r="A85" s="11"/>
      <c r="B85" s="221"/>
      <c r="C85" s="708"/>
      <c r="D85" s="498">
        <f>SUM(D79:D84)</f>
        <v>960514</v>
      </c>
      <c r="E85" s="618"/>
      <c r="F85" s="507">
        <f>SUM(F79:F84)</f>
        <v>1971429</v>
      </c>
    </row>
    <row r="86" spans="1:6" s="90" customFormat="1" ht="15.75" x14ac:dyDescent="0.25">
      <c r="A86" s="11"/>
      <c r="B86" s="548" t="s">
        <v>580</v>
      </c>
      <c r="C86" s="708"/>
      <c r="D86" s="347"/>
      <c r="E86" s="716"/>
      <c r="F86" s="508"/>
    </row>
    <row r="87" spans="1:6" s="90" customFormat="1" ht="15.75" x14ac:dyDescent="0.25">
      <c r="A87" s="11"/>
      <c r="B87" s="221" t="s">
        <v>581</v>
      </c>
      <c r="C87" s="708"/>
      <c r="D87" s="218">
        <v>614308</v>
      </c>
      <c r="E87" s="716"/>
      <c r="F87" s="426">
        <v>189510</v>
      </c>
    </row>
    <row r="88" spans="1:6" s="90" customFormat="1" ht="15.75" x14ac:dyDescent="0.25">
      <c r="A88" s="11"/>
      <c r="B88" s="221" t="s">
        <v>661</v>
      </c>
      <c r="C88" s="708"/>
      <c r="D88" s="218">
        <v>73816</v>
      </c>
      <c r="E88" s="716"/>
      <c r="F88" s="426"/>
    </row>
    <row r="89" spans="1:6" s="90" customFormat="1" ht="15.75" x14ac:dyDescent="0.25">
      <c r="A89" s="11"/>
      <c r="B89" s="221" t="s">
        <v>582</v>
      </c>
      <c r="C89" s="708"/>
      <c r="D89" s="218">
        <f>15610+11644</f>
        <v>27254</v>
      </c>
      <c r="E89" s="716"/>
      <c r="F89" s="426">
        <v>8800</v>
      </c>
    </row>
    <row r="90" spans="1:6" s="90" customFormat="1" ht="15.75" x14ac:dyDescent="0.25">
      <c r="A90" s="11"/>
      <c r="B90" s="221" t="s">
        <v>545</v>
      </c>
      <c r="C90" s="708"/>
      <c r="D90" s="218">
        <v>110179</v>
      </c>
      <c r="E90" s="716"/>
      <c r="F90" s="426">
        <v>95793</v>
      </c>
    </row>
    <row r="91" spans="1:6" s="90" customFormat="1" ht="15.75" x14ac:dyDescent="0.25">
      <c r="A91" s="11"/>
      <c r="B91" s="221" t="s">
        <v>17</v>
      </c>
      <c r="C91" s="708"/>
      <c r="D91" s="218">
        <v>289204</v>
      </c>
      <c r="E91" s="716"/>
      <c r="F91" s="426">
        <v>311434</v>
      </c>
    </row>
    <row r="92" spans="1:6" s="90" customFormat="1" ht="15.75" x14ac:dyDescent="0.25">
      <c r="A92" s="11"/>
      <c r="B92" s="221" t="s">
        <v>583</v>
      </c>
      <c r="C92" s="708"/>
      <c r="D92" s="218">
        <v>76699</v>
      </c>
      <c r="E92" s="716"/>
      <c r="F92" s="426">
        <v>115049</v>
      </c>
    </row>
    <row r="93" spans="1:6" s="90" customFormat="1" ht="14.25" customHeight="1" x14ac:dyDescent="0.25">
      <c r="A93" s="11"/>
      <c r="B93" s="221" t="s">
        <v>651</v>
      </c>
      <c r="C93" s="708"/>
      <c r="D93" s="218">
        <v>0</v>
      </c>
      <c r="E93" s="716"/>
      <c r="F93" s="426">
        <v>27870</v>
      </c>
    </row>
    <row r="94" spans="1:6" s="90" customFormat="1" ht="14.25" customHeight="1" x14ac:dyDescent="0.25">
      <c r="A94" s="11"/>
      <c r="B94" s="221" t="s">
        <v>584</v>
      </c>
      <c r="C94" s="708"/>
      <c r="D94" s="218">
        <v>45135</v>
      </c>
      <c r="E94" s="716"/>
      <c r="F94" s="426">
        <v>23189</v>
      </c>
    </row>
    <row r="95" spans="1:6" s="90" customFormat="1" ht="14.25" customHeight="1" x14ac:dyDescent="0.25">
      <c r="A95" s="11"/>
      <c r="B95" s="221" t="s">
        <v>19</v>
      </c>
      <c r="C95" s="708"/>
      <c r="D95" s="218">
        <v>0</v>
      </c>
      <c r="E95" s="716"/>
      <c r="F95" s="426">
        <v>15765</v>
      </c>
    </row>
    <row r="96" spans="1:6" s="90" customFormat="1" ht="15.75" x14ac:dyDescent="0.25">
      <c r="A96" s="11"/>
      <c r="B96" s="221" t="s">
        <v>20</v>
      </c>
      <c r="C96" s="708"/>
      <c r="D96" s="218">
        <v>76700</v>
      </c>
      <c r="E96" s="716"/>
      <c r="F96" s="426">
        <v>76700</v>
      </c>
    </row>
    <row r="97" spans="1:8" s="90" customFormat="1" ht="15.75" x14ac:dyDescent="0.25">
      <c r="A97" s="11"/>
      <c r="B97" s="221" t="s">
        <v>585</v>
      </c>
      <c r="C97" s="708"/>
      <c r="D97" s="218">
        <v>19686</v>
      </c>
      <c r="E97" s="716"/>
      <c r="F97" s="426">
        <v>12153</v>
      </c>
    </row>
    <row r="98" spans="1:8" s="90" customFormat="1" ht="15.75" x14ac:dyDescent="0.25">
      <c r="A98" s="11"/>
      <c r="B98" s="221" t="s">
        <v>586</v>
      </c>
      <c r="C98" s="708"/>
      <c r="D98" s="218">
        <v>0</v>
      </c>
      <c r="E98" s="716"/>
      <c r="F98" s="426">
        <v>0</v>
      </c>
    </row>
    <row r="99" spans="1:8" s="90" customFormat="1" ht="15.75" x14ac:dyDescent="0.25">
      <c r="A99" s="11"/>
      <c r="B99" s="220" t="s">
        <v>480</v>
      </c>
      <c r="C99" s="707"/>
      <c r="D99" s="218">
        <v>118922</v>
      </c>
      <c r="E99" s="218">
        <v>0</v>
      </c>
      <c r="F99" s="426">
        <v>0</v>
      </c>
    </row>
    <row r="100" spans="1:8" s="90" customFormat="1" ht="15.75" x14ac:dyDescent="0.25">
      <c r="A100" s="11"/>
      <c r="B100" s="221" t="s">
        <v>23</v>
      </c>
      <c r="C100" s="708"/>
      <c r="D100" s="218">
        <v>0</v>
      </c>
      <c r="E100" s="716"/>
      <c r="F100" s="426">
        <v>0</v>
      </c>
    </row>
    <row r="101" spans="1:8" s="90" customFormat="1" ht="18" customHeight="1" thickBot="1" x14ac:dyDescent="0.3">
      <c r="A101" s="11"/>
      <c r="B101" s="518"/>
      <c r="C101" s="519"/>
      <c r="D101" s="498">
        <f>SUM(D87:D100)</f>
        <v>1451903</v>
      </c>
      <c r="E101" s="618" t="s">
        <v>0</v>
      </c>
      <c r="F101" s="507">
        <f>SUM(F87:F100)</f>
        <v>876263</v>
      </c>
      <c r="H101" s="332"/>
    </row>
    <row r="102" spans="1:8" s="90" customFormat="1" ht="27" customHeight="1" x14ac:dyDescent="0.25">
      <c r="A102" s="11"/>
      <c r="B102" s="12"/>
      <c r="C102" s="12"/>
      <c r="D102" s="634"/>
      <c r="E102" s="552"/>
      <c r="F102" s="553"/>
      <c r="H102" s="332"/>
    </row>
    <row r="103" spans="1:8" s="90" customFormat="1" ht="27" customHeight="1" x14ac:dyDescent="0.25">
      <c r="A103" s="11"/>
      <c r="B103" s="12"/>
      <c r="C103" s="12"/>
      <c r="D103" s="634"/>
      <c r="E103" s="552"/>
      <c r="F103" s="553"/>
      <c r="H103" s="332"/>
    </row>
    <row r="104" spans="1:8" s="90" customFormat="1" ht="15.75" x14ac:dyDescent="0.25">
      <c r="A104" s="11"/>
      <c r="B104" s="12"/>
      <c r="C104" s="12"/>
      <c r="D104" s="634"/>
      <c r="E104" s="552"/>
      <c r="F104" s="553"/>
      <c r="H104" s="332"/>
    </row>
    <row r="105" spans="1:8" s="90" customFormat="1" ht="15" x14ac:dyDescent="0.2">
      <c r="A105" s="805" t="str">
        <f>A53</f>
        <v>GAYATRI VIDYA PARISHAD COLLEGE FOR DEGREE AND P.G. COURESES (AUTONOMOUS) VISAKHAPATNAM</v>
      </c>
      <c r="B105" s="805"/>
      <c r="C105" s="805"/>
      <c r="D105" s="805"/>
      <c r="E105" s="805"/>
      <c r="F105" s="805"/>
    </row>
    <row r="106" spans="1:8" s="90" customFormat="1" ht="15" x14ac:dyDescent="0.2">
      <c r="A106" s="762" t="str">
        <f>'MCA BS'!A2:E2</f>
        <v>M.C.A PROGRAMME</v>
      </c>
      <c r="B106" s="762"/>
      <c r="C106" s="762"/>
      <c r="D106" s="762"/>
      <c r="E106" s="762"/>
      <c r="F106" s="762"/>
    </row>
    <row r="107" spans="1:8" s="90" customFormat="1" ht="16.5" thickBot="1" x14ac:dyDescent="0.3">
      <c r="A107" s="761" t="str">
        <f>A55</f>
        <v>SCHEDULES</v>
      </c>
      <c r="B107" s="761"/>
      <c r="C107" s="761"/>
      <c r="D107" s="761"/>
      <c r="E107" s="761"/>
      <c r="F107" s="761"/>
    </row>
    <row r="108" spans="1:8" s="90" customFormat="1" ht="15.75" x14ac:dyDescent="0.25">
      <c r="A108" s="11"/>
      <c r="B108" s="835" t="s">
        <v>422</v>
      </c>
      <c r="C108" s="783"/>
      <c r="D108" s="549" t="s">
        <v>14</v>
      </c>
      <c r="E108" s="520"/>
      <c r="F108" s="521" t="s">
        <v>14</v>
      </c>
    </row>
    <row r="109" spans="1:8" s="90" customFormat="1" ht="15.75" x14ac:dyDescent="0.25">
      <c r="A109" s="11"/>
      <c r="B109" s="836"/>
      <c r="C109" s="842"/>
      <c r="D109" s="336" t="s">
        <v>15</v>
      </c>
      <c r="E109" s="717"/>
      <c r="F109" s="351" t="s">
        <v>15</v>
      </c>
    </row>
    <row r="110" spans="1:8" s="90" customFormat="1" ht="15.75" x14ac:dyDescent="0.25">
      <c r="A110" s="11"/>
      <c r="B110" s="836"/>
      <c r="C110" s="842"/>
      <c r="D110" s="336" t="str">
        <f>D58</f>
        <v>31.03.2025</v>
      </c>
      <c r="E110" s="717"/>
      <c r="F110" s="351" t="str">
        <f>F58</f>
        <v>31.03.2024</v>
      </c>
    </row>
    <row r="111" spans="1:8" s="90" customFormat="1" ht="15.75" x14ac:dyDescent="0.25">
      <c r="A111" s="11"/>
      <c r="B111" s="836"/>
      <c r="C111" s="842"/>
      <c r="D111" s="337" t="s">
        <v>550</v>
      </c>
      <c r="E111" s="335"/>
      <c r="F111" s="550" t="s">
        <v>551</v>
      </c>
    </row>
    <row r="112" spans="1:8" s="90" customFormat="1" ht="15.75" x14ac:dyDescent="0.25">
      <c r="A112" s="11"/>
      <c r="B112" s="843" t="s">
        <v>587</v>
      </c>
      <c r="C112" s="844"/>
      <c r="D112" s="622"/>
      <c r="E112" s="708"/>
      <c r="F112" s="524"/>
    </row>
    <row r="113" spans="1:6" s="90" customFormat="1" ht="15.75" x14ac:dyDescent="0.25">
      <c r="A113" s="11"/>
      <c r="B113" s="221" t="s">
        <v>24</v>
      </c>
      <c r="C113" s="708"/>
      <c r="D113" s="218">
        <v>531</v>
      </c>
      <c r="E113" s="716"/>
      <c r="F113" s="426">
        <v>1379.42</v>
      </c>
    </row>
    <row r="114" spans="1:6" s="90" customFormat="1" ht="16.5" thickBot="1" x14ac:dyDescent="0.3">
      <c r="A114" s="11"/>
      <c r="B114" s="221"/>
      <c r="C114" s="708"/>
      <c r="D114" s="498">
        <f>SUM(D113:D113)</f>
        <v>531</v>
      </c>
      <c r="E114" s="620"/>
      <c r="F114" s="507">
        <f>SUM(F113:F113)</f>
        <v>1379.42</v>
      </c>
    </row>
    <row r="115" spans="1:6" s="90" customFormat="1" ht="15.75" x14ac:dyDescent="0.25">
      <c r="A115" s="11"/>
      <c r="B115" s="221"/>
      <c r="C115" s="708"/>
      <c r="D115" s="347"/>
      <c r="E115" s="716"/>
      <c r="F115" s="508"/>
    </row>
    <row r="116" spans="1:6" s="90" customFormat="1" ht="15.75" x14ac:dyDescent="0.25">
      <c r="A116" s="11"/>
      <c r="B116" s="222" t="s">
        <v>588</v>
      </c>
      <c r="C116" s="708"/>
      <c r="D116" s="347"/>
      <c r="E116" s="623"/>
      <c r="F116" s="506"/>
    </row>
    <row r="117" spans="1:6" s="90" customFormat="1" ht="15.75" x14ac:dyDescent="0.25">
      <c r="A117" s="11"/>
      <c r="B117" s="220" t="s">
        <v>481</v>
      </c>
      <c r="C117" s="707"/>
      <c r="D117" s="615">
        <v>0</v>
      </c>
      <c r="E117" s="615">
        <v>0</v>
      </c>
      <c r="F117" s="621">
        <v>0</v>
      </c>
    </row>
    <row r="118" spans="1:6" s="90" customFormat="1" ht="16.5" thickBot="1" x14ac:dyDescent="0.3">
      <c r="A118" s="11"/>
      <c r="B118" s="221"/>
      <c r="C118" s="708"/>
      <c r="D118" s="498">
        <f>SUM(D117:D117)</f>
        <v>0</v>
      </c>
      <c r="E118" s="499"/>
      <c r="F118" s="507">
        <f>SUM(F117:F117)</f>
        <v>0</v>
      </c>
    </row>
    <row r="119" spans="1:6" s="90" customFormat="1" ht="15.75" x14ac:dyDescent="0.25">
      <c r="A119" s="11"/>
      <c r="B119" s="222" t="s">
        <v>653</v>
      </c>
      <c r="C119" s="708"/>
      <c r="D119" s="347"/>
      <c r="E119" s="623"/>
      <c r="F119" s="506"/>
    </row>
    <row r="120" spans="1:6" s="90" customFormat="1" ht="15.75" x14ac:dyDescent="0.25">
      <c r="A120" s="11"/>
      <c r="B120" s="220" t="s">
        <v>10</v>
      </c>
      <c r="C120" s="707"/>
      <c r="D120" s="651">
        <f>+'MCA  DEP-2425'!J67</f>
        <v>780871</v>
      </c>
      <c r="E120" s="652">
        <v>0</v>
      </c>
      <c r="F120" s="653">
        <v>961546</v>
      </c>
    </row>
    <row r="121" spans="1:6" s="90" customFormat="1" ht="15.75" x14ac:dyDescent="0.25">
      <c r="A121" s="11"/>
      <c r="B121" s="220"/>
      <c r="C121" s="707"/>
      <c r="D121" s="615"/>
      <c r="E121" s="615"/>
      <c r="F121" s="621"/>
    </row>
    <row r="122" spans="1:6" s="90" customFormat="1" ht="16.5" thickBot="1" x14ac:dyDescent="0.3">
      <c r="A122" s="11"/>
      <c r="B122" s="402"/>
      <c r="C122" s="551"/>
      <c r="D122" s="498">
        <f>SUM(D120:D121)</f>
        <v>780871</v>
      </c>
      <c r="E122" s="499"/>
      <c r="F122" s="507">
        <f>SUM(F120:F121)</f>
        <v>961546</v>
      </c>
    </row>
    <row r="123" spans="1:6" s="90" customFormat="1" ht="15.75" x14ac:dyDescent="0.25">
      <c r="A123" s="11"/>
      <c r="B123" s="11"/>
      <c r="C123" s="11"/>
      <c r="D123" s="12"/>
      <c r="E123" s="12"/>
      <c r="F123" s="12"/>
    </row>
    <row r="124" spans="1:6" x14ac:dyDescent="0.2">
      <c r="A124" s="2"/>
      <c r="B124" s="2"/>
      <c r="C124" s="2"/>
      <c r="D124" s="4"/>
      <c r="E124" s="4"/>
      <c r="F124" s="4"/>
    </row>
    <row r="125" spans="1:6" x14ac:dyDescent="0.2">
      <c r="A125" s="2"/>
      <c r="B125" s="2"/>
      <c r="C125" s="2"/>
      <c r="D125" s="4"/>
      <c r="E125" s="4"/>
      <c r="F125" s="4"/>
    </row>
    <row r="126" spans="1:6" x14ac:dyDescent="0.2">
      <c r="A126" s="2"/>
      <c r="B126" s="2"/>
      <c r="C126" s="2"/>
      <c r="D126" s="4"/>
      <c r="E126" s="4"/>
      <c r="F126" s="4"/>
    </row>
    <row r="127" spans="1:6" x14ac:dyDescent="0.2">
      <c r="A127" s="2"/>
      <c r="B127" s="2"/>
      <c r="C127" s="2"/>
      <c r="D127" s="4"/>
      <c r="E127" s="4"/>
      <c r="F127" s="4"/>
    </row>
    <row r="128" spans="1:6" x14ac:dyDescent="0.2">
      <c r="A128" s="2"/>
      <c r="B128" s="2"/>
      <c r="C128" s="2"/>
      <c r="D128" s="4"/>
      <c r="E128" s="4"/>
      <c r="F128" s="4"/>
    </row>
    <row r="129" spans="1:6" x14ac:dyDescent="0.2">
      <c r="A129" s="2"/>
      <c r="B129" s="2"/>
      <c r="C129" s="2"/>
      <c r="D129" s="4"/>
      <c r="E129" s="4"/>
      <c r="F129" s="4"/>
    </row>
    <row r="130" spans="1:6" x14ac:dyDescent="0.2">
      <c r="A130" s="2"/>
      <c r="B130" s="2"/>
      <c r="C130" s="2"/>
      <c r="D130" s="4"/>
      <c r="E130" s="4"/>
      <c r="F130" s="4"/>
    </row>
    <row r="131" spans="1:6" x14ac:dyDescent="0.2">
      <c r="A131" s="2"/>
      <c r="B131" s="2"/>
      <c r="C131" s="2"/>
      <c r="D131" s="4"/>
      <c r="E131" s="4"/>
      <c r="F131" s="4"/>
    </row>
    <row r="132" spans="1:6" x14ac:dyDescent="0.2">
      <c r="A132" s="2"/>
      <c r="B132" s="2"/>
      <c r="C132" s="2"/>
      <c r="D132" s="4"/>
      <c r="E132" s="4"/>
      <c r="F132" s="4"/>
    </row>
    <row r="133" spans="1:6" x14ac:dyDescent="0.2">
      <c r="A133" s="2"/>
      <c r="B133" s="2"/>
      <c r="C133" s="2"/>
      <c r="D133" s="4"/>
      <c r="E133" s="4"/>
      <c r="F133" s="4"/>
    </row>
    <row r="134" spans="1:6" x14ac:dyDescent="0.2">
      <c r="A134" s="2"/>
      <c r="B134" s="2"/>
      <c r="C134" s="2"/>
      <c r="D134" s="4"/>
      <c r="E134" s="4"/>
      <c r="F134" s="4"/>
    </row>
    <row r="135" spans="1:6" x14ac:dyDescent="0.2">
      <c r="A135" s="2"/>
      <c r="B135" s="2"/>
      <c r="C135" s="2"/>
      <c r="D135" s="4"/>
      <c r="E135" s="4"/>
      <c r="F135" s="4"/>
    </row>
    <row r="136" spans="1:6" x14ac:dyDescent="0.2">
      <c r="A136" s="2"/>
      <c r="B136" s="2"/>
      <c r="C136" s="2"/>
      <c r="D136" s="4"/>
      <c r="E136" s="4"/>
      <c r="F136" s="4"/>
    </row>
    <row r="137" spans="1:6" x14ac:dyDescent="0.2">
      <c r="A137" s="2"/>
      <c r="B137" s="2"/>
      <c r="C137" s="2"/>
      <c r="D137" s="4"/>
      <c r="E137" s="4"/>
      <c r="F137" s="4"/>
    </row>
    <row r="138" spans="1:6" x14ac:dyDescent="0.2">
      <c r="A138" s="2"/>
      <c r="B138" s="2"/>
      <c r="C138" s="2"/>
      <c r="D138" s="4"/>
      <c r="E138" s="4"/>
      <c r="F138" s="4"/>
    </row>
    <row r="139" spans="1:6" x14ac:dyDescent="0.2">
      <c r="A139" s="2"/>
      <c r="B139" s="2"/>
      <c r="C139" s="2"/>
      <c r="D139" s="4"/>
      <c r="E139" s="4"/>
      <c r="F139" s="4"/>
    </row>
    <row r="140" spans="1:6" x14ac:dyDescent="0.2">
      <c r="A140" s="2"/>
      <c r="B140" s="2"/>
      <c r="C140" s="2"/>
      <c r="D140" s="4"/>
      <c r="E140" s="4"/>
      <c r="F140" s="4"/>
    </row>
    <row r="141" spans="1:6" x14ac:dyDescent="0.2">
      <c r="A141" s="2"/>
      <c r="B141" s="2"/>
      <c r="C141" s="2"/>
      <c r="D141" s="4"/>
      <c r="E141" s="4"/>
      <c r="F141" s="4"/>
    </row>
    <row r="142" spans="1:6" x14ac:dyDescent="0.2">
      <c r="A142" s="2"/>
      <c r="B142" s="2"/>
      <c r="C142" s="2"/>
      <c r="D142" s="4"/>
      <c r="E142" s="4"/>
      <c r="F142" s="4"/>
    </row>
    <row r="143" spans="1:6" x14ac:dyDescent="0.2">
      <c r="A143" s="2"/>
      <c r="B143" s="2"/>
      <c r="C143" s="2"/>
      <c r="D143" s="4"/>
      <c r="E143" s="4"/>
      <c r="F143" s="4"/>
    </row>
    <row r="144" spans="1:6" x14ac:dyDescent="0.2">
      <c r="A144" s="2"/>
      <c r="B144" s="2"/>
      <c r="C144" s="2"/>
      <c r="D144" s="4"/>
      <c r="E144" s="4"/>
      <c r="F144" s="4"/>
    </row>
    <row r="145" spans="1:6" x14ac:dyDescent="0.2">
      <c r="A145" s="2"/>
      <c r="B145" s="2"/>
      <c r="C145" s="2"/>
      <c r="D145" s="4"/>
      <c r="E145" s="4"/>
      <c r="F145" s="4"/>
    </row>
    <row r="146" spans="1:6" x14ac:dyDescent="0.2">
      <c r="A146" s="2"/>
      <c r="B146" s="2"/>
      <c r="C146" s="2"/>
      <c r="D146" s="4"/>
      <c r="E146" s="4"/>
      <c r="F146" s="4"/>
    </row>
    <row r="147" spans="1:6" x14ac:dyDescent="0.2">
      <c r="A147" s="2"/>
      <c r="B147" s="2"/>
      <c r="C147" s="2"/>
      <c r="D147" s="4"/>
      <c r="E147" s="4"/>
      <c r="F147" s="4"/>
    </row>
    <row r="148" spans="1:6" x14ac:dyDescent="0.2">
      <c r="A148" s="2"/>
      <c r="B148" s="2"/>
      <c r="C148" s="2"/>
      <c r="D148" s="4"/>
      <c r="E148" s="4"/>
      <c r="F148" s="4"/>
    </row>
    <row r="149" spans="1:6" x14ac:dyDescent="0.2">
      <c r="A149" s="2"/>
      <c r="B149" s="2"/>
      <c r="C149" s="2"/>
      <c r="D149" s="4"/>
      <c r="E149" s="4"/>
      <c r="F149" s="4"/>
    </row>
    <row r="150" spans="1:6" x14ac:dyDescent="0.2">
      <c r="A150" s="2"/>
      <c r="B150" s="2"/>
      <c r="C150" s="2"/>
      <c r="D150" s="4"/>
      <c r="E150" s="4"/>
      <c r="F150" s="4"/>
    </row>
    <row r="151" spans="1:6" x14ac:dyDescent="0.2">
      <c r="A151" s="2"/>
      <c r="B151" s="2"/>
      <c r="C151" s="2"/>
      <c r="D151" s="4"/>
      <c r="E151" s="4"/>
      <c r="F151" s="4"/>
    </row>
    <row r="152" spans="1:6" x14ac:dyDescent="0.2">
      <c r="A152" s="2"/>
      <c r="B152" s="2"/>
      <c r="C152" s="2"/>
      <c r="D152" s="4"/>
      <c r="E152" s="4"/>
      <c r="F152" s="4"/>
    </row>
    <row r="153" spans="1:6" x14ac:dyDescent="0.2">
      <c r="A153" s="2"/>
      <c r="B153" s="2"/>
      <c r="C153" s="2"/>
      <c r="D153" s="4"/>
      <c r="E153" s="4"/>
      <c r="F153" s="4"/>
    </row>
    <row r="154" spans="1:6" x14ac:dyDescent="0.2">
      <c r="A154" s="2"/>
      <c r="B154" s="2"/>
      <c r="C154" s="2"/>
      <c r="D154" s="4"/>
      <c r="E154" s="4"/>
      <c r="F154" s="4"/>
    </row>
    <row r="155" spans="1:6" x14ac:dyDescent="0.2">
      <c r="A155" s="2"/>
      <c r="B155" s="2"/>
      <c r="C155" s="2"/>
      <c r="D155" s="4"/>
      <c r="E155" s="4"/>
      <c r="F155" s="4"/>
    </row>
    <row r="156" spans="1:6" x14ac:dyDescent="0.2">
      <c r="A156" s="2"/>
      <c r="B156" s="2"/>
      <c r="C156" s="2"/>
      <c r="D156" s="4"/>
      <c r="E156" s="4"/>
      <c r="F156" s="4"/>
    </row>
    <row r="157" spans="1:6" x14ac:dyDescent="0.2">
      <c r="A157" s="2"/>
      <c r="B157" s="2"/>
      <c r="C157" s="2"/>
      <c r="D157" s="4"/>
      <c r="E157" s="4"/>
      <c r="F157" s="4"/>
    </row>
    <row r="158" spans="1:6" x14ac:dyDescent="0.2">
      <c r="A158" s="2"/>
      <c r="B158" s="2"/>
      <c r="C158" s="2"/>
      <c r="D158" s="4"/>
      <c r="E158" s="4"/>
      <c r="F158" s="4"/>
    </row>
    <row r="159" spans="1:6" x14ac:dyDescent="0.2">
      <c r="A159" s="2"/>
      <c r="B159" s="2"/>
      <c r="C159" s="2"/>
      <c r="D159" s="4"/>
      <c r="E159" s="4"/>
      <c r="F159" s="4"/>
    </row>
    <row r="160" spans="1:6" x14ac:dyDescent="0.2">
      <c r="A160" s="2"/>
      <c r="B160" s="2"/>
      <c r="C160" s="2"/>
      <c r="D160" s="4"/>
      <c r="E160" s="4"/>
      <c r="F160" s="4"/>
    </row>
    <row r="161" spans="1:6" x14ac:dyDescent="0.2">
      <c r="A161" s="2"/>
      <c r="B161" s="2"/>
      <c r="C161" s="2"/>
      <c r="D161" s="4"/>
      <c r="E161" s="4"/>
      <c r="F161" s="4"/>
    </row>
    <row r="162" spans="1:6" x14ac:dyDescent="0.2">
      <c r="A162" s="2"/>
      <c r="B162" s="2"/>
      <c r="C162" s="2"/>
      <c r="D162" s="4"/>
      <c r="E162" s="4"/>
      <c r="F162" s="4"/>
    </row>
    <row r="163" spans="1:6" x14ac:dyDescent="0.2">
      <c r="A163" s="2"/>
      <c r="B163" s="2"/>
      <c r="C163" s="2"/>
      <c r="D163" s="4"/>
      <c r="E163" s="4"/>
      <c r="F163" s="4"/>
    </row>
    <row r="164" spans="1:6" x14ac:dyDescent="0.2">
      <c r="A164" s="2"/>
      <c r="B164" s="2"/>
      <c r="C164" s="2"/>
      <c r="D164" s="4"/>
      <c r="E164" s="4"/>
      <c r="F164" s="4"/>
    </row>
    <row r="165" spans="1:6" x14ac:dyDescent="0.2">
      <c r="A165" s="2"/>
      <c r="B165" s="2"/>
      <c r="C165" s="2"/>
      <c r="D165" s="4"/>
      <c r="E165" s="4"/>
      <c r="F165" s="4"/>
    </row>
    <row r="166" spans="1:6" x14ac:dyDescent="0.2">
      <c r="A166" s="2"/>
      <c r="B166" s="2"/>
      <c r="C166" s="2"/>
      <c r="D166" s="4"/>
      <c r="E166" s="4"/>
      <c r="F166" s="4"/>
    </row>
    <row r="167" spans="1:6" x14ac:dyDescent="0.2">
      <c r="A167" s="2"/>
      <c r="B167" s="2"/>
      <c r="C167" s="2"/>
      <c r="D167" s="4"/>
      <c r="E167" s="4"/>
      <c r="F167" s="4"/>
    </row>
    <row r="168" spans="1:6" x14ac:dyDescent="0.2">
      <c r="A168" s="2"/>
      <c r="B168" s="2"/>
      <c r="C168" s="2"/>
      <c r="D168" s="4"/>
      <c r="E168" s="4"/>
      <c r="F168" s="4"/>
    </row>
    <row r="169" spans="1:6" x14ac:dyDescent="0.2">
      <c r="A169" s="2"/>
      <c r="B169" s="2"/>
      <c r="C169" s="2"/>
      <c r="D169" s="4"/>
      <c r="E169" s="4"/>
      <c r="F169" s="4"/>
    </row>
    <row r="170" spans="1:6" x14ac:dyDescent="0.2">
      <c r="A170" s="2"/>
      <c r="B170" s="2"/>
      <c r="C170" s="2"/>
      <c r="D170" s="4"/>
      <c r="E170" s="4"/>
      <c r="F170" s="4"/>
    </row>
    <row r="171" spans="1:6" x14ac:dyDescent="0.2">
      <c r="A171" s="2"/>
      <c r="B171" s="2"/>
      <c r="C171" s="2"/>
      <c r="D171" s="4"/>
      <c r="E171" s="4"/>
      <c r="F171" s="4"/>
    </row>
    <row r="172" spans="1:6" x14ac:dyDescent="0.2">
      <c r="A172" s="2"/>
      <c r="B172" s="2"/>
      <c r="C172" s="2"/>
      <c r="D172" s="4"/>
      <c r="E172" s="4"/>
      <c r="F172" s="4"/>
    </row>
    <row r="173" spans="1:6" x14ac:dyDescent="0.2">
      <c r="A173" s="2"/>
      <c r="B173" s="2"/>
      <c r="C173" s="2"/>
      <c r="D173" s="4"/>
      <c r="E173" s="4"/>
      <c r="F173" s="4"/>
    </row>
    <row r="174" spans="1:6" x14ac:dyDescent="0.2">
      <c r="A174" s="2"/>
      <c r="B174" s="2"/>
      <c r="C174" s="2"/>
      <c r="D174" s="4"/>
      <c r="E174" s="4"/>
      <c r="F174" s="4"/>
    </row>
    <row r="175" spans="1:6" x14ac:dyDescent="0.2">
      <c r="A175" s="2"/>
      <c r="B175" s="2"/>
      <c r="C175" s="2"/>
      <c r="D175" s="4"/>
      <c r="E175" s="4"/>
      <c r="F175" s="4"/>
    </row>
    <row r="176" spans="1:6" x14ac:dyDescent="0.2">
      <c r="A176" s="2"/>
      <c r="B176" s="2"/>
      <c r="C176" s="2"/>
      <c r="D176" s="4"/>
      <c r="E176" s="4"/>
      <c r="F176" s="4"/>
    </row>
    <row r="177" spans="1:6" x14ac:dyDescent="0.2">
      <c r="A177" s="2"/>
      <c r="B177" s="2"/>
      <c r="C177" s="2"/>
      <c r="D177" s="4"/>
      <c r="E177" s="4"/>
      <c r="F177" s="4"/>
    </row>
    <row r="178" spans="1:6" x14ac:dyDescent="0.2">
      <c r="A178" s="2"/>
      <c r="B178" s="2"/>
      <c r="C178" s="2"/>
      <c r="D178" s="4"/>
      <c r="E178" s="4"/>
      <c r="F178" s="4"/>
    </row>
    <row r="179" spans="1:6" x14ac:dyDescent="0.2">
      <c r="A179" s="2"/>
      <c r="B179" s="2"/>
      <c r="C179" s="2"/>
      <c r="D179" s="4"/>
      <c r="E179" s="4"/>
      <c r="F179" s="4"/>
    </row>
    <row r="180" spans="1:6" x14ac:dyDescent="0.2">
      <c r="A180" s="2"/>
      <c r="B180" s="2"/>
      <c r="C180" s="2"/>
      <c r="D180" s="4"/>
      <c r="E180" s="4"/>
      <c r="F180" s="4"/>
    </row>
    <row r="181" spans="1:6" x14ac:dyDescent="0.2">
      <c r="A181" s="2"/>
      <c r="B181" s="2"/>
      <c r="C181" s="2"/>
      <c r="D181" s="4"/>
      <c r="E181" s="4"/>
      <c r="F181" s="4"/>
    </row>
    <row r="182" spans="1:6" x14ac:dyDescent="0.2">
      <c r="A182" s="2"/>
      <c r="B182" s="2"/>
      <c r="C182" s="2"/>
      <c r="D182" s="4"/>
      <c r="E182" s="4"/>
      <c r="F182" s="4"/>
    </row>
    <row r="183" spans="1:6" x14ac:dyDescent="0.2">
      <c r="A183" s="2"/>
      <c r="B183" s="2"/>
      <c r="C183" s="2"/>
      <c r="D183" s="4"/>
      <c r="E183" s="4"/>
      <c r="F183" s="4"/>
    </row>
    <row r="184" spans="1:6" x14ac:dyDescent="0.2">
      <c r="A184" s="2"/>
      <c r="B184" s="2"/>
      <c r="C184" s="2"/>
      <c r="D184" s="4"/>
      <c r="E184" s="4"/>
      <c r="F184" s="4"/>
    </row>
    <row r="185" spans="1:6" x14ac:dyDescent="0.2">
      <c r="A185" s="2"/>
      <c r="B185" s="2"/>
      <c r="C185" s="2"/>
      <c r="D185" s="4"/>
      <c r="E185" s="4"/>
      <c r="F185" s="4"/>
    </row>
    <row r="186" spans="1:6" x14ac:dyDescent="0.2">
      <c r="A186" s="2"/>
      <c r="B186" s="2"/>
      <c r="C186" s="2"/>
      <c r="D186" s="4"/>
      <c r="E186" s="4"/>
      <c r="F186" s="4"/>
    </row>
    <row r="187" spans="1:6" x14ac:dyDescent="0.2">
      <c r="A187" s="2"/>
      <c r="B187" s="2"/>
      <c r="C187" s="2"/>
      <c r="D187" s="4"/>
      <c r="E187" s="4"/>
      <c r="F187" s="4"/>
    </row>
    <row r="188" spans="1:6" x14ac:dyDescent="0.2">
      <c r="A188" s="2"/>
      <c r="B188" s="2"/>
      <c r="C188" s="2"/>
      <c r="D188" s="4"/>
      <c r="E188" s="4"/>
      <c r="F188" s="4"/>
    </row>
    <row r="189" spans="1:6" x14ac:dyDescent="0.2">
      <c r="A189" s="2"/>
      <c r="B189" s="2"/>
      <c r="C189" s="2"/>
      <c r="D189" s="4"/>
      <c r="E189" s="4"/>
      <c r="F189" s="4"/>
    </row>
    <row r="190" spans="1:6" x14ac:dyDescent="0.2">
      <c r="A190" s="2"/>
      <c r="B190" s="2"/>
      <c r="C190" s="2"/>
      <c r="D190" s="4"/>
      <c r="E190" s="4"/>
      <c r="F190" s="4"/>
    </row>
    <row r="191" spans="1:6" x14ac:dyDescent="0.2">
      <c r="A191" s="2"/>
      <c r="B191" s="2"/>
      <c r="C191" s="2"/>
      <c r="D191" s="4"/>
      <c r="E191" s="4"/>
      <c r="F191" s="4"/>
    </row>
    <row r="192" spans="1:6" x14ac:dyDescent="0.2">
      <c r="A192" s="2"/>
      <c r="B192" s="2"/>
      <c r="C192" s="2"/>
      <c r="D192" s="4"/>
      <c r="E192" s="4"/>
      <c r="F192" s="4"/>
    </row>
    <row r="193" spans="1:6" x14ac:dyDescent="0.2">
      <c r="A193" s="2"/>
      <c r="B193" s="2"/>
      <c r="C193" s="2"/>
      <c r="D193" s="4"/>
      <c r="E193" s="4"/>
      <c r="F193" s="4"/>
    </row>
    <row r="194" spans="1:6" x14ac:dyDescent="0.2">
      <c r="A194" s="2"/>
      <c r="B194" s="2"/>
      <c r="C194" s="2"/>
      <c r="D194" s="4"/>
      <c r="E194" s="4"/>
      <c r="F194" s="4"/>
    </row>
    <row r="195" spans="1:6" x14ac:dyDescent="0.2">
      <c r="A195" s="2"/>
      <c r="B195" s="2"/>
      <c r="C195" s="2"/>
      <c r="D195" s="4"/>
      <c r="E195" s="4"/>
      <c r="F195" s="4"/>
    </row>
    <row r="196" spans="1:6" x14ac:dyDescent="0.2">
      <c r="A196" s="2"/>
      <c r="B196" s="2"/>
      <c r="C196" s="2"/>
      <c r="D196" s="4"/>
      <c r="E196" s="4"/>
      <c r="F196" s="4"/>
    </row>
    <row r="197" spans="1:6" x14ac:dyDescent="0.2">
      <c r="A197" s="2"/>
      <c r="B197" s="2"/>
      <c r="C197" s="2"/>
      <c r="D197" s="4"/>
      <c r="E197" s="4"/>
      <c r="F197" s="4"/>
    </row>
    <row r="198" spans="1:6" x14ac:dyDescent="0.2">
      <c r="A198" s="2"/>
      <c r="B198" s="2"/>
      <c r="C198" s="2"/>
      <c r="D198" s="4"/>
      <c r="E198" s="4"/>
      <c r="F198" s="4"/>
    </row>
    <row r="199" spans="1:6" x14ac:dyDescent="0.2">
      <c r="A199" s="2"/>
      <c r="B199" s="2"/>
      <c r="C199" s="2"/>
      <c r="D199" s="4"/>
      <c r="E199" s="4"/>
      <c r="F199" s="4"/>
    </row>
    <row r="200" spans="1:6" x14ac:dyDescent="0.2">
      <c r="A200" s="2"/>
      <c r="B200" s="2"/>
      <c r="C200" s="2"/>
      <c r="D200" s="4"/>
      <c r="E200" s="4"/>
      <c r="F200" s="4"/>
    </row>
    <row r="201" spans="1:6" x14ac:dyDescent="0.2">
      <c r="A201" s="2"/>
      <c r="B201" s="2"/>
      <c r="C201" s="2"/>
      <c r="D201" s="4"/>
      <c r="E201" s="4"/>
      <c r="F201" s="4"/>
    </row>
    <row r="202" spans="1:6" x14ac:dyDescent="0.2">
      <c r="A202" s="2"/>
      <c r="B202" s="2"/>
      <c r="C202" s="2"/>
      <c r="D202" s="4"/>
      <c r="E202" s="4"/>
      <c r="F202" s="4"/>
    </row>
    <row r="203" spans="1:6" x14ac:dyDescent="0.2">
      <c r="A203" s="2"/>
      <c r="B203" s="2"/>
      <c r="C203" s="2"/>
      <c r="D203" s="4"/>
      <c r="E203" s="4"/>
      <c r="F203" s="4"/>
    </row>
    <row r="204" spans="1:6" x14ac:dyDescent="0.2">
      <c r="A204" s="2"/>
      <c r="B204" s="2"/>
      <c r="C204" s="2"/>
      <c r="D204" s="4"/>
      <c r="E204" s="4"/>
      <c r="F204" s="4"/>
    </row>
    <row r="205" spans="1:6" x14ac:dyDescent="0.2">
      <c r="A205" s="2"/>
      <c r="B205" s="2"/>
      <c r="C205" s="2"/>
      <c r="D205" s="4"/>
      <c r="E205" s="4"/>
      <c r="F205" s="4"/>
    </row>
    <row r="206" spans="1:6" x14ac:dyDescent="0.2">
      <c r="A206" s="2"/>
      <c r="B206" s="2"/>
      <c r="C206" s="2"/>
      <c r="D206" s="4"/>
      <c r="E206" s="4"/>
      <c r="F206" s="4"/>
    </row>
    <row r="207" spans="1:6" x14ac:dyDescent="0.2">
      <c r="A207" s="2"/>
      <c r="B207" s="2"/>
      <c r="C207" s="2"/>
      <c r="D207" s="4"/>
      <c r="E207" s="4"/>
      <c r="F207" s="4"/>
    </row>
    <row r="208" spans="1:6" x14ac:dyDescent="0.2">
      <c r="A208" s="2"/>
      <c r="B208" s="2"/>
      <c r="C208" s="2"/>
      <c r="D208" s="4"/>
      <c r="E208" s="4"/>
      <c r="F208" s="4"/>
    </row>
    <row r="209" spans="1:6" x14ac:dyDescent="0.2">
      <c r="A209" s="2"/>
      <c r="B209" s="2"/>
      <c r="C209" s="2"/>
      <c r="D209" s="4"/>
      <c r="E209" s="4"/>
      <c r="F209" s="4"/>
    </row>
    <row r="210" spans="1:6" x14ac:dyDescent="0.2">
      <c r="A210" s="2"/>
      <c r="B210" s="2"/>
      <c r="C210" s="2"/>
      <c r="D210" s="4"/>
      <c r="E210" s="4"/>
      <c r="F210" s="4"/>
    </row>
    <row r="211" spans="1:6" x14ac:dyDescent="0.2">
      <c r="A211" s="2"/>
      <c r="B211" s="2"/>
      <c r="C211" s="2"/>
      <c r="D211" s="4"/>
      <c r="E211" s="4"/>
      <c r="F211" s="4"/>
    </row>
    <row r="212" spans="1:6" x14ac:dyDescent="0.2">
      <c r="A212" s="2"/>
      <c r="B212" s="2"/>
      <c r="C212" s="2"/>
      <c r="D212" s="4"/>
      <c r="E212" s="4"/>
      <c r="F212" s="4"/>
    </row>
    <row r="213" spans="1:6" x14ac:dyDescent="0.2">
      <c r="A213" s="2"/>
      <c r="B213" s="2"/>
      <c r="C213" s="2"/>
      <c r="D213" s="4"/>
      <c r="E213" s="4"/>
      <c r="F213" s="4"/>
    </row>
    <row r="214" spans="1:6" x14ac:dyDescent="0.2">
      <c r="A214" s="2"/>
      <c r="B214" s="2"/>
      <c r="C214" s="2"/>
      <c r="D214" s="4"/>
      <c r="E214" s="4"/>
      <c r="F214" s="4"/>
    </row>
    <row r="215" spans="1:6" x14ac:dyDescent="0.2">
      <c r="A215" s="2"/>
      <c r="B215" s="2"/>
      <c r="C215" s="2"/>
      <c r="D215" s="4"/>
      <c r="E215" s="4"/>
      <c r="F215" s="4"/>
    </row>
    <row r="216" spans="1:6" x14ac:dyDescent="0.2">
      <c r="A216" s="2"/>
      <c r="B216" s="2"/>
      <c r="C216" s="2"/>
      <c r="D216" s="4"/>
      <c r="E216" s="4"/>
      <c r="F216" s="4"/>
    </row>
    <row r="217" spans="1:6" x14ac:dyDescent="0.2">
      <c r="A217" s="2"/>
      <c r="B217" s="2"/>
      <c r="C217" s="2"/>
      <c r="D217" s="4"/>
      <c r="E217" s="4"/>
      <c r="F217" s="4"/>
    </row>
    <row r="218" spans="1:6" x14ac:dyDescent="0.2">
      <c r="A218" s="2"/>
      <c r="B218" s="2"/>
      <c r="C218" s="2"/>
      <c r="D218" s="4"/>
      <c r="E218" s="4"/>
      <c r="F218" s="4"/>
    </row>
    <row r="219" spans="1:6" x14ac:dyDescent="0.2">
      <c r="A219" s="2"/>
      <c r="B219" s="2"/>
      <c r="C219" s="2"/>
      <c r="D219" s="4"/>
      <c r="E219" s="4"/>
      <c r="F219" s="4"/>
    </row>
    <row r="220" spans="1:6" x14ac:dyDescent="0.2">
      <c r="A220" s="2"/>
      <c r="B220" s="2"/>
      <c r="C220" s="2"/>
      <c r="D220" s="4"/>
      <c r="E220" s="4"/>
      <c r="F220" s="4"/>
    </row>
    <row r="221" spans="1:6" x14ac:dyDescent="0.2">
      <c r="A221" s="2"/>
      <c r="B221" s="2"/>
      <c r="C221" s="2"/>
      <c r="D221" s="4"/>
      <c r="E221" s="4"/>
      <c r="F221" s="4"/>
    </row>
    <row r="222" spans="1:6" x14ac:dyDescent="0.2">
      <c r="A222" s="2"/>
      <c r="B222" s="2"/>
      <c r="C222" s="2"/>
      <c r="D222" s="4"/>
      <c r="E222" s="4"/>
      <c r="F222" s="4"/>
    </row>
    <row r="223" spans="1:6" x14ac:dyDescent="0.2">
      <c r="A223" s="2"/>
      <c r="B223" s="2"/>
      <c r="C223" s="2"/>
      <c r="D223" s="4"/>
      <c r="E223" s="4"/>
      <c r="F223" s="4"/>
    </row>
    <row r="224" spans="1:6" x14ac:dyDescent="0.2">
      <c r="A224" s="2"/>
      <c r="B224" s="2"/>
      <c r="C224" s="2"/>
      <c r="D224" s="4"/>
      <c r="E224" s="4"/>
      <c r="F224" s="4"/>
    </row>
    <row r="225" spans="1:6" x14ac:dyDescent="0.2">
      <c r="A225" s="2"/>
      <c r="B225" s="2"/>
      <c r="C225" s="2"/>
      <c r="D225" s="4"/>
      <c r="E225" s="4"/>
      <c r="F225" s="4"/>
    </row>
    <row r="226" spans="1:6" x14ac:dyDescent="0.2">
      <c r="A226" s="2"/>
      <c r="B226" s="2"/>
      <c r="C226" s="2"/>
      <c r="D226" s="4"/>
      <c r="E226" s="4"/>
      <c r="F226" s="4"/>
    </row>
    <row r="227" spans="1:6" x14ac:dyDescent="0.2">
      <c r="A227" s="2"/>
      <c r="B227" s="2"/>
      <c r="C227" s="2"/>
      <c r="D227" s="4"/>
      <c r="E227" s="4"/>
      <c r="F227" s="4"/>
    </row>
    <row r="228" spans="1:6" x14ac:dyDescent="0.2">
      <c r="A228" s="2"/>
      <c r="B228" s="2"/>
      <c r="C228" s="2"/>
      <c r="D228" s="4"/>
      <c r="E228" s="4"/>
      <c r="F228" s="4"/>
    </row>
    <row r="229" spans="1:6" x14ac:dyDescent="0.2">
      <c r="A229" s="2"/>
      <c r="B229" s="2"/>
      <c r="C229" s="2"/>
      <c r="D229" s="4"/>
      <c r="E229" s="4"/>
      <c r="F229" s="4"/>
    </row>
    <row r="230" spans="1:6" x14ac:dyDescent="0.2">
      <c r="A230" s="2"/>
      <c r="B230" s="2"/>
      <c r="C230" s="2"/>
      <c r="D230" s="4"/>
      <c r="E230" s="4"/>
      <c r="F230" s="4"/>
    </row>
    <row r="231" spans="1:6" x14ac:dyDescent="0.2">
      <c r="A231" s="2"/>
      <c r="B231" s="2"/>
      <c r="C231" s="2"/>
      <c r="D231" s="4"/>
      <c r="E231" s="4"/>
      <c r="F231" s="4"/>
    </row>
    <row r="232" spans="1:6" x14ac:dyDescent="0.2">
      <c r="A232" s="2"/>
      <c r="B232" s="2"/>
      <c r="C232" s="2"/>
      <c r="D232" s="4"/>
      <c r="E232" s="4"/>
      <c r="F232" s="4"/>
    </row>
    <row r="233" spans="1:6" x14ac:dyDescent="0.2">
      <c r="A233" s="2"/>
      <c r="B233" s="2"/>
      <c r="C233" s="2"/>
      <c r="D233" s="4"/>
      <c r="E233" s="4"/>
      <c r="F233" s="4"/>
    </row>
    <row r="234" spans="1:6" x14ac:dyDescent="0.2">
      <c r="A234" s="2"/>
      <c r="B234" s="2"/>
      <c r="C234" s="2"/>
      <c r="D234" s="4"/>
      <c r="E234" s="4"/>
      <c r="F234" s="4"/>
    </row>
    <row r="235" spans="1:6" x14ac:dyDescent="0.2">
      <c r="A235" s="2"/>
      <c r="B235" s="2"/>
      <c r="C235" s="2"/>
      <c r="D235" s="4"/>
      <c r="E235" s="4"/>
      <c r="F235" s="4"/>
    </row>
    <row r="236" spans="1:6" x14ac:dyDescent="0.2">
      <c r="A236" s="2"/>
      <c r="B236" s="2"/>
      <c r="C236" s="2"/>
      <c r="D236" s="4"/>
      <c r="E236" s="4"/>
      <c r="F236" s="4"/>
    </row>
    <row r="237" spans="1:6" x14ac:dyDescent="0.2">
      <c r="A237" s="2"/>
      <c r="B237" s="2"/>
      <c r="C237" s="2"/>
      <c r="D237" s="4"/>
      <c r="E237" s="4"/>
      <c r="F237" s="4"/>
    </row>
    <row r="238" spans="1:6" x14ac:dyDescent="0.2">
      <c r="A238" s="2"/>
      <c r="B238" s="2"/>
      <c r="C238" s="2"/>
      <c r="D238" s="4"/>
      <c r="E238" s="4"/>
      <c r="F238" s="4"/>
    </row>
    <row r="239" spans="1:6" x14ac:dyDescent="0.2">
      <c r="A239" s="2"/>
      <c r="B239" s="2"/>
      <c r="C239" s="2"/>
      <c r="D239" s="4"/>
      <c r="E239" s="4"/>
      <c r="F239" s="4"/>
    </row>
    <row r="240" spans="1:6" x14ac:dyDescent="0.2">
      <c r="A240" s="2"/>
      <c r="B240" s="2"/>
      <c r="C240" s="2"/>
      <c r="D240" s="4"/>
      <c r="E240" s="4"/>
      <c r="F240" s="4"/>
    </row>
    <row r="241" spans="1:6" x14ac:dyDescent="0.2">
      <c r="A241" s="2"/>
      <c r="B241" s="2"/>
      <c r="C241" s="2"/>
      <c r="D241" s="4"/>
      <c r="E241" s="4"/>
      <c r="F241" s="4"/>
    </row>
    <row r="242" spans="1:6" x14ac:dyDescent="0.2">
      <c r="A242" s="2"/>
      <c r="B242" s="2"/>
      <c r="C242" s="2"/>
      <c r="D242" s="4"/>
      <c r="E242" s="4"/>
      <c r="F242" s="4"/>
    </row>
    <row r="243" spans="1:6" x14ac:dyDescent="0.2">
      <c r="A243" s="2"/>
      <c r="B243" s="2"/>
      <c r="C243" s="2"/>
      <c r="D243" s="4"/>
      <c r="E243" s="4"/>
      <c r="F243" s="4"/>
    </row>
    <row r="244" spans="1:6" x14ac:dyDescent="0.2">
      <c r="A244" s="2"/>
      <c r="B244" s="2"/>
      <c r="C244" s="2"/>
      <c r="D244" s="4"/>
      <c r="E244" s="4"/>
      <c r="F244" s="4"/>
    </row>
    <row r="245" spans="1:6" x14ac:dyDescent="0.2">
      <c r="A245" s="2"/>
      <c r="B245" s="2"/>
      <c r="C245" s="2"/>
      <c r="D245" s="4"/>
      <c r="E245" s="4"/>
      <c r="F245" s="4"/>
    </row>
    <row r="246" spans="1:6" x14ac:dyDescent="0.2">
      <c r="A246" s="2"/>
      <c r="B246" s="2"/>
      <c r="C246" s="2"/>
      <c r="D246" s="4"/>
      <c r="E246" s="4"/>
      <c r="F246" s="4"/>
    </row>
    <row r="247" spans="1:6" x14ac:dyDescent="0.2">
      <c r="A247" s="2"/>
      <c r="B247" s="2"/>
      <c r="C247" s="2"/>
      <c r="D247" s="4"/>
      <c r="E247" s="4"/>
      <c r="F247" s="4"/>
    </row>
    <row r="248" spans="1:6" x14ac:dyDescent="0.2">
      <c r="A248" s="2"/>
      <c r="B248" s="2"/>
      <c r="C248" s="2"/>
      <c r="D248" s="4"/>
      <c r="E248" s="4"/>
      <c r="F248" s="4"/>
    </row>
    <row r="249" spans="1:6" x14ac:dyDescent="0.2">
      <c r="A249" s="2"/>
      <c r="B249" s="2"/>
      <c r="C249" s="2"/>
      <c r="D249" s="4"/>
      <c r="E249" s="4"/>
      <c r="F249" s="4"/>
    </row>
    <row r="250" spans="1:6" x14ac:dyDescent="0.2">
      <c r="A250" s="2"/>
      <c r="B250" s="2"/>
      <c r="C250" s="2"/>
      <c r="D250" s="4"/>
      <c r="E250" s="4"/>
      <c r="F250" s="4"/>
    </row>
    <row r="251" spans="1:6" x14ac:dyDescent="0.2">
      <c r="A251" s="2"/>
      <c r="B251" s="2"/>
      <c r="C251" s="2"/>
      <c r="D251" s="4"/>
      <c r="E251" s="4"/>
      <c r="F251" s="4"/>
    </row>
    <row r="252" spans="1:6" x14ac:dyDescent="0.2">
      <c r="A252" s="2"/>
      <c r="B252" s="2"/>
      <c r="C252" s="2"/>
      <c r="D252" s="4"/>
      <c r="E252" s="4"/>
      <c r="F252" s="4"/>
    </row>
    <row r="253" spans="1:6" x14ac:dyDescent="0.2">
      <c r="A253" s="2"/>
      <c r="B253" s="2"/>
      <c r="C253" s="2"/>
      <c r="D253" s="4"/>
      <c r="E253" s="4"/>
      <c r="F253" s="4"/>
    </row>
    <row r="254" spans="1:6" x14ac:dyDescent="0.2">
      <c r="A254" s="2"/>
      <c r="B254" s="2"/>
      <c r="C254" s="2"/>
      <c r="D254" s="4"/>
      <c r="E254" s="4"/>
      <c r="F254" s="4"/>
    </row>
    <row r="255" spans="1:6" x14ac:dyDescent="0.2">
      <c r="A255" s="2"/>
      <c r="B255" s="2"/>
      <c r="C255" s="2"/>
      <c r="D255" s="4"/>
      <c r="E255" s="4"/>
      <c r="F255" s="4"/>
    </row>
    <row r="256" spans="1:6" x14ac:dyDescent="0.2">
      <c r="A256" s="2"/>
      <c r="B256" s="2"/>
      <c r="C256" s="2"/>
      <c r="D256" s="4"/>
      <c r="E256" s="4"/>
      <c r="F256" s="4"/>
    </row>
    <row r="257" spans="1:6" x14ac:dyDescent="0.2">
      <c r="A257" s="2"/>
      <c r="B257" s="2"/>
      <c r="C257" s="2"/>
      <c r="D257" s="4"/>
      <c r="E257" s="4"/>
      <c r="F257" s="4"/>
    </row>
    <row r="258" spans="1:6" x14ac:dyDescent="0.2">
      <c r="A258" s="2"/>
      <c r="B258" s="2"/>
      <c r="C258" s="2"/>
      <c r="D258" s="4"/>
      <c r="E258" s="4"/>
      <c r="F258" s="4"/>
    </row>
    <row r="259" spans="1:6" x14ac:dyDescent="0.2">
      <c r="A259" s="2"/>
      <c r="B259" s="2"/>
      <c r="C259" s="2"/>
      <c r="D259" s="4"/>
      <c r="E259" s="4"/>
      <c r="F259" s="4"/>
    </row>
    <row r="260" spans="1:6" x14ac:dyDescent="0.2">
      <c r="A260" s="2"/>
      <c r="B260" s="2"/>
      <c r="C260" s="2"/>
      <c r="D260" s="4"/>
      <c r="E260" s="4"/>
      <c r="F260" s="4"/>
    </row>
    <row r="261" spans="1:6" x14ac:dyDescent="0.2">
      <c r="A261" s="2"/>
      <c r="B261" s="2"/>
      <c r="C261" s="2"/>
      <c r="D261" s="4"/>
      <c r="E261" s="4"/>
      <c r="F261" s="4"/>
    </row>
    <row r="262" spans="1:6" x14ac:dyDescent="0.2">
      <c r="A262" s="2"/>
      <c r="B262" s="2"/>
      <c r="C262" s="2"/>
      <c r="D262" s="4"/>
      <c r="E262" s="4"/>
      <c r="F262" s="4"/>
    </row>
    <row r="263" spans="1:6" x14ac:dyDescent="0.2">
      <c r="A263" s="2"/>
      <c r="B263" s="2"/>
      <c r="C263" s="2"/>
      <c r="D263" s="4"/>
      <c r="E263" s="4"/>
      <c r="F263" s="4"/>
    </row>
    <row r="264" spans="1:6" x14ac:dyDescent="0.2">
      <c r="A264" s="2"/>
      <c r="B264" s="2"/>
      <c r="C264" s="2"/>
      <c r="D264" s="4"/>
      <c r="E264" s="4"/>
      <c r="F264" s="4"/>
    </row>
    <row r="265" spans="1:6" x14ac:dyDescent="0.2">
      <c r="A265" s="2"/>
      <c r="B265" s="2"/>
      <c r="C265" s="2"/>
      <c r="D265" s="4"/>
      <c r="E265" s="4"/>
      <c r="F265" s="4"/>
    </row>
    <row r="266" spans="1:6" x14ac:dyDescent="0.2">
      <c r="A266" s="2"/>
      <c r="B266" s="2"/>
      <c r="C266" s="2"/>
      <c r="D266" s="4"/>
      <c r="E266" s="4"/>
      <c r="F266" s="4"/>
    </row>
    <row r="267" spans="1:6" x14ac:dyDescent="0.2">
      <c r="A267" s="2"/>
      <c r="B267" s="2"/>
      <c r="C267" s="2"/>
      <c r="D267" s="4"/>
      <c r="E267" s="4"/>
      <c r="F267" s="4"/>
    </row>
    <row r="268" spans="1:6" x14ac:dyDescent="0.2">
      <c r="A268" s="2"/>
      <c r="B268" s="2"/>
      <c r="C268" s="2"/>
      <c r="D268" s="4"/>
      <c r="E268" s="4"/>
      <c r="F268" s="4"/>
    </row>
    <row r="269" spans="1:6" x14ac:dyDescent="0.2">
      <c r="A269" s="2"/>
      <c r="B269" s="2"/>
      <c r="C269" s="2"/>
      <c r="D269" s="4"/>
      <c r="E269" s="4"/>
      <c r="F269" s="4"/>
    </row>
    <row r="270" spans="1:6" x14ac:dyDescent="0.2">
      <c r="A270" s="2"/>
      <c r="B270" s="2"/>
      <c r="C270" s="2"/>
      <c r="D270" s="4"/>
      <c r="E270" s="4"/>
      <c r="F270" s="4"/>
    </row>
    <row r="271" spans="1:6" x14ac:dyDescent="0.2">
      <c r="A271" s="2"/>
      <c r="B271" s="2"/>
      <c r="C271" s="2"/>
      <c r="D271" s="4"/>
      <c r="E271" s="4"/>
      <c r="F271" s="4"/>
    </row>
    <row r="272" spans="1:6" x14ac:dyDescent="0.2">
      <c r="A272" s="2"/>
      <c r="B272" s="2"/>
      <c r="C272" s="2"/>
      <c r="D272" s="4"/>
      <c r="E272" s="4"/>
      <c r="F272" s="4"/>
    </row>
    <row r="273" spans="1:6" x14ac:dyDescent="0.2">
      <c r="A273" s="2"/>
      <c r="B273" s="2"/>
      <c r="C273" s="2"/>
      <c r="D273" s="4"/>
      <c r="E273" s="4"/>
      <c r="F273" s="4"/>
    </row>
    <row r="274" spans="1:6" x14ac:dyDescent="0.2">
      <c r="A274" s="2"/>
      <c r="B274" s="2"/>
      <c r="C274" s="2"/>
      <c r="D274" s="4"/>
      <c r="E274" s="4"/>
      <c r="F274" s="4"/>
    </row>
    <row r="275" spans="1:6" x14ac:dyDescent="0.2">
      <c r="A275" s="2"/>
      <c r="B275" s="2"/>
      <c r="C275" s="2"/>
      <c r="D275" s="4"/>
      <c r="E275" s="4"/>
      <c r="F275" s="4"/>
    </row>
    <row r="276" spans="1:6" x14ac:dyDescent="0.2">
      <c r="A276" s="2"/>
      <c r="B276" s="2"/>
      <c r="C276" s="2"/>
      <c r="D276" s="4"/>
      <c r="E276" s="4"/>
      <c r="F276" s="4"/>
    </row>
    <row r="277" spans="1:6" x14ac:dyDescent="0.2">
      <c r="A277" s="2"/>
      <c r="B277" s="2"/>
      <c r="C277" s="2"/>
      <c r="D277" s="4"/>
      <c r="E277" s="4"/>
      <c r="F277" s="4"/>
    </row>
    <row r="278" spans="1:6" x14ac:dyDescent="0.2">
      <c r="A278" s="2"/>
      <c r="B278" s="2"/>
      <c r="C278" s="2"/>
      <c r="D278" s="4"/>
      <c r="E278" s="4"/>
      <c r="F278" s="4"/>
    </row>
    <row r="279" spans="1:6" x14ac:dyDescent="0.2">
      <c r="A279" s="2"/>
      <c r="B279" s="2"/>
      <c r="C279" s="2"/>
      <c r="D279" s="4"/>
      <c r="E279" s="4"/>
      <c r="F279" s="4"/>
    </row>
    <row r="280" spans="1:6" x14ac:dyDescent="0.2">
      <c r="A280" s="2"/>
      <c r="B280" s="2"/>
      <c r="C280" s="2"/>
      <c r="D280" s="4"/>
      <c r="E280" s="4"/>
      <c r="F280" s="4"/>
    </row>
    <row r="281" spans="1:6" x14ac:dyDescent="0.2">
      <c r="A281" s="2"/>
      <c r="B281" s="2"/>
      <c r="C281" s="2"/>
      <c r="D281" s="4"/>
      <c r="E281" s="4"/>
      <c r="F281" s="4"/>
    </row>
    <row r="282" spans="1:6" x14ac:dyDescent="0.2">
      <c r="A282" s="2"/>
      <c r="B282" s="2"/>
      <c r="C282" s="2"/>
      <c r="D282" s="4"/>
      <c r="E282" s="4"/>
      <c r="F282" s="4"/>
    </row>
    <row r="283" spans="1:6" x14ac:dyDescent="0.2">
      <c r="A283" s="2"/>
      <c r="B283" s="2"/>
      <c r="C283" s="2"/>
      <c r="D283" s="4"/>
      <c r="E283" s="4"/>
      <c r="F283" s="4"/>
    </row>
    <row r="284" spans="1:6" x14ac:dyDescent="0.2">
      <c r="A284" s="2"/>
      <c r="B284" s="2"/>
      <c r="C284" s="2"/>
      <c r="D284" s="4"/>
      <c r="E284" s="4"/>
      <c r="F284" s="4"/>
    </row>
    <row r="285" spans="1:6" x14ac:dyDescent="0.2">
      <c r="A285" s="2"/>
      <c r="B285" s="2"/>
      <c r="C285" s="2"/>
      <c r="D285" s="4"/>
      <c r="E285" s="4"/>
      <c r="F285" s="4"/>
    </row>
    <row r="286" spans="1:6" x14ac:dyDescent="0.2">
      <c r="A286" s="2"/>
      <c r="B286" s="2"/>
      <c r="C286" s="2"/>
      <c r="D286" s="4"/>
      <c r="E286" s="4"/>
      <c r="F286" s="4"/>
    </row>
    <row r="287" spans="1:6" x14ac:dyDescent="0.2">
      <c r="A287" s="2"/>
      <c r="B287" s="2"/>
      <c r="C287" s="2"/>
      <c r="D287" s="4"/>
      <c r="E287" s="4"/>
      <c r="F287" s="4"/>
    </row>
    <row r="288" spans="1:6" x14ac:dyDescent="0.2">
      <c r="A288" s="2"/>
      <c r="B288" s="2"/>
      <c r="C288" s="2"/>
      <c r="D288" s="4"/>
      <c r="E288" s="4"/>
      <c r="F288" s="4"/>
    </row>
    <row r="289" spans="1:6" x14ac:dyDescent="0.2">
      <c r="A289" s="2"/>
      <c r="B289" s="2"/>
      <c r="C289" s="2"/>
      <c r="D289" s="4"/>
      <c r="E289" s="4"/>
      <c r="F289" s="4"/>
    </row>
    <row r="290" spans="1:6" x14ac:dyDescent="0.2">
      <c r="A290" s="2"/>
      <c r="B290" s="2"/>
      <c r="C290" s="2"/>
      <c r="D290" s="4"/>
      <c r="E290" s="4"/>
      <c r="F290" s="4"/>
    </row>
    <row r="291" spans="1:6" x14ac:dyDescent="0.2">
      <c r="A291" s="2"/>
      <c r="B291" s="2"/>
      <c r="C291" s="2"/>
      <c r="D291" s="4"/>
      <c r="E291" s="4"/>
      <c r="F291" s="4"/>
    </row>
    <row r="292" spans="1:6" x14ac:dyDescent="0.2">
      <c r="A292" s="2"/>
      <c r="B292" s="2"/>
      <c r="C292" s="2"/>
      <c r="D292" s="4"/>
      <c r="E292" s="4"/>
      <c r="F292" s="4"/>
    </row>
    <row r="293" spans="1:6" x14ac:dyDescent="0.2">
      <c r="A293" s="2"/>
      <c r="B293" s="2"/>
      <c r="C293" s="2"/>
      <c r="D293" s="4"/>
      <c r="E293" s="4"/>
      <c r="F293" s="4"/>
    </row>
    <row r="294" spans="1:6" x14ac:dyDescent="0.2">
      <c r="A294" s="2"/>
      <c r="B294" s="2"/>
      <c r="C294" s="2"/>
      <c r="D294" s="4"/>
      <c r="E294" s="4"/>
      <c r="F294" s="4"/>
    </row>
    <row r="295" spans="1:6" x14ac:dyDescent="0.2">
      <c r="A295" s="2"/>
      <c r="B295" s="2"/>
      <c r="C295" s="2"/>
      <c r="D295" s="4"/>
      <c r="E295" s="4"/>
      <c r="F295" s="4"/>
    </row>
    <row r="296" spans="1:6" x14ac:dyDescent="0.2">
      <c r="A296" s="2"/>
      <c r="B296" s="2"/>
      <c r="C296" s="2"/>
      <c r="D296" s="4"/>
      <c r="E296" s="4"/>
      <c r="F296" s="4"/>
    </row>
    <row r="297" spans="1:6" x14ac:dyDescent="0.2">
      <c r="A297" s="2"/>
      <c r="B297" s="2"/>
      <c r="C297" s="2"/>
      <c r="D297" s="4"/>
      <c r="E297" s="4"/>
      <c r="F297" s="4"/>
    </row>
    <row r="298" spans="1:6" x14ac:dyDescent="0.2">
      <c r="A298" s="2"/>
      <c r="B298" s="2"/>
      <c r="C298" s="2"/>
      <c r="D298" s="4"/>
      <c r="E298" s="4"/>
      <c r="F298" s="4"/>
    </row>
    <row r="299" spans="1:6" x14ac:dyDescent="0.2">
      <c r="A299" s="2"/>
      <c r="B299" s="2"/>
      <c r="C299" s="2"/>
      <c r="D299" s="4"/>
      <c r="E299" s="4"/>
      <c r="F299" s="4"/>
    </row>
    <row r="300" spans="1:6" x14ac:dyDescent="0.2">
      <c r="A300" s="2"/>
      <c r="B300" s="2"/>
      <c r="C300" s="2"/>
      <c r="D300" s="4"/>
      <c r="E300" s="4"/>
      <c r="F300" s="4"/>
    </row>
    <row r="301" spans="1:6" x14ac:dyDescent="0.2">
      <c r="A301" s="2"/>
      <c r="B301" s="2"/>
      <c r="C301" s="2"/>
      <c r="D301" s="4"/>
      <c r="E301" s="4"/>
      <c r="F301" s="4"/>
    </row>
    <row r="302" spans="1:6" x14ac:dyDescent="0.2">
      <c r="A302" s="2"/>
      <c r="B302" s="2"/>
      <c r="C302" s="2"/>
      <c r="D302" s="4"/>
      <c r="E302" s="4"/>
      <c r="F302" s="4"/>
    </row>
    <row r="303" spans="1:6" x14ac:dyDescent="0.2">
      <c r="A303" s="2"/>
      <c r="B303" s="2"/>
      <c r="C303" s="2"/>
      <c r="D303" s="4"/>
      <c r="E303" s="4"/>
      <c r="F303" s="4"/>
    </row>
    <row r="304" spans="1:6" x14ac:dyDescent="0.2">
      <c r="A304" s="2"/>
      <c r="B304" s="2"/>
      <c r="C304" s="2"/>
      <c r="D304" s="4"/>
      <c r="E304" s="4"/>
      <c r="F304" s="4"/>
    </row>
    <row r="305" spans="1:6" x14ac:dyDescent="0.2">
      <c r="A305" s="2"/>
      <c r="B305" s="2"/>
      <c r="C305" s="2"/>
      <c r="D305" s="4"/>
      <c r="E305" s="4"/>
      <c r="F305" s="4"/>
    </row>
    <row r="306" spans="1:6" x14ac:dyDescent="0.2">
      <c r="E306" s="5"/>
      <c r="F306" s="5"/>
    </row>
    <row r="307" spans="1:6" x14ac:dyDescent="0.2">
      <c r="E307" s="5"/>
      <c r="F307" s="5"/>
    </row>
    <row r="308" spans="1:6" x14ac:dyDescent="0.2">
      <c r="E308" s="5"/>
      <c r="F308" s="5"/>
    </row>
    <row r="309" spans="1:6" x14ac:dyDescent="0.2">
      <c r="E309" s="5"/>
      <c r="F309" s="5"/>
    </row>
    <row r="310" spans="1:6" x14ac:dyDescent="0.2">
      <c r="E310" s="5"/>
      <c r="F310" s="5"/>
    </row>
    <row r="311" spans="1:6" x14ac:dyDescent="0.2">
      <c r="E311" s="5"/>
      <c r="F311" s="5"/>
    </row>
    <row r="312" spans="1:6" x14ac:dyDescent="0.2">
      <c r="E312" s="5"/>
      <c r="F312" s="5"/>
    </row>
    <row r="313" spans="1:6" x14ac:dyDescent="0.2">
      <c r="E313" s="5"/>
      <c r="F313" s="5"/>
    </row>
    <row r="314" spans="1:6" x14ac:dyDescent="0.2">
      <c r="E314" s="5"/>
      <c r="F314" s="5"/>
    </row>
    <row r="315" spans="1:6" x14ac:dyDescent="0.2">
      <c r="E315" s="5"/>
      <c r="F315" s="5"/>
    </row>
    <row r="316" spans="1:6" x14ac:dyDescent="0.2">
      <c r="E316" s="5"/>
      <c r="F316" s="5"/>
    </row>
    <row r="317" spans="1:6" x14ac:dyDescent="0.2">
      <c r="E317" s="5"/>
      <c r="F317" s="5"/>
    </row>
    <row r="318" spans="1:6" x14ac:dyDescent="0.2">
      <c r="E318" s="5"/>
      <c r="F318" s="5"/>
    </row>
    <row r="319" spans="1:6" x14ac:dyDescent="0.2">
      <c r="E319" s="5"/>
      <c r="F319" s="5"/>
    </row>
    <row r="320" spans="1:6" x14ac:dyDescent="0.2">
      <c r="E320" s="5"/>
      <c r="F320" s="5"/>
    </row>
    <row r="321" spans="5:6" x14ac:dyDescent="0.2">
      <c r="E321" s="5"/>
      <c r="F321" s="5"/>
    </row>
    <row r="322" spans="5:6" x14ac:dyDescent="0.2">
      <c r="E322" s="5"/>
      <c r="F322" s="5"/>
    </row>
    <row r="323" spans="5:6" x14ac:dyDescent="0.2">
      <c r="E323" s="5"/>
      <c r="F323" s="5"/>
    </row>
    <row r="324" spans="5:6" x14ac:dyDescent="0.2">
      <c r="E324" s="5"/>
      <c r="F324" s="5"/>
    </row>
    <row r="325" spans="5:6" x14ac:dyDescent="0.2">
      <c r="E325" s="5"/>
      <c r="F325" s="5"/>
    </row>
    <row r="326" spans="5:6" x14ac:dyDescent="0.2">
      <c r="E326" s="5"/>
      <c r="F326" s="5"/>
    </row>
    <row r="327" spans="5:6" x14ac:dyDescent="0.2">
      <c r="E327" s="5"/>
      <c r="F327" s="5"/>
    </row>
    <row r="328" spans="5:6" x14ac:dyDescent="0.2">
      <c r="E328" s="5"/>
      <c r="F328" s="5"/>
    </row>
    <row r="329" spans="5:6" x14ac:dyDescent="0.2">
      <c r="E329" s="5"/>
      <c r="F329" s="5"/>
    </row>
    <row r="330" spans="5:6" x14ac:dyDescent="0.2">
      <c r="E330" s="5"/>
      <c r="F330" s="5"/>
    </row>
    <row r="331" spans="5:6" x14ac:dyDescent="0.2">
      <c r="E331" s="5"/>
      <c r="F331" s="5"/>
    </row>
    <row r="332" spans="5:6" x14ac:dyDescent="0.2">
      <c r="E332" s="5"/>
      <c r="F332" s="5"/>
    </row>
    <row r="333" spans="5:6" x14ac:dyDescent="0.2">
      <c r="E333" s="5"/>
      <c r="F333" s="5"/>
    </row>
    <row r="334" spans="5:6" x14ac:dyDescent="0.2">
      <c r="E334" s="5"/>
      <c r="F334" s="5"/>
    </row>
    <row r="335" spans="5:6" x14ac:dyDescent="0.2">
      <c r="E335" s="5"/>
      <c r="F335" s="5"/>
    </row>
    <row r="336" spans="5:6" x14ac:dyDescent="0.2">
      <c r="E336" s="5"/>
      <c r="F336" s="5"/>
    </row>
    <row r="337" spans="5:6" x14ac:dyDescent="0.2">
      <c r="E337" s="5"/>
      <c r="F337" s="5"/>
    </row>
    <row r="338" spans="5:6" x14ac:dyDescent="0.2">
      <c r="E338" s="5"/>
      <c r="F338" s="5"/>
    </row>
    <row r="339" spans="5:6" x14ac:dyDescent="0.2">
      <c r="E339" s="5"/>
      <c r="F339" s="5"/>
    </row>
    <row r="340" spans="5:6" x14ac:dyDescent="0.2">
      <c r="E340" s="5"/>
      <c r="F340" s="5"/>
    </row>
    <row r="341" spans="5:6" x14ac:dyDescent="0.2">
      <c r="E341" s="5"/>
      <c r="F341" s="5"/>
    </row>
    <row r="342" spans="5:6" x14ac:dyDescent="0.2">
      <c r="E342" s="5"/>
      <c r="F342" s="5"/>
    </row>
    <row r="343" spans="5:6" x14ac:dyDescent="0.2">
      <c r="E343" s="5"/>
      <c r="F343" s="5"/>
    </row>
    <row r="344" spans="5:6" x14ac:dyDescent="0.2">
      <c r="E344" s="5"/>
      <c r="F344" s="5"/>
    </row>
    <row r="345" spans="5:6" x14ac:dyDescent="0.2">
      <c r="E345" s="5"/>
      <c r="F345" s="5"/>
    </row>
    <row r="346" spans="5:6" x14ac:dyDescent="0.2">
      <c r="E346" s="5"/>
      <c r="F346" s="5"/>
    </row>
    <row r="347" spans="5:6" x14ac:dyDescent="0.2">
      <c r="E347" s="5"/>
      <c r="F347" s="5"/>
    </row>
    <row r="348" spans="5:6" x14ac:dyDescent="0.2">
      <c r="E348" s="5"/>
      <c r="F348" s="5"/>
    </row>
    <row r="349" spans="5:6" x14ac:dyDescent="0.2">
      <c r="E349" s="5"/>
      <c r="F349" s="5"/>
    </row>
    <row r="350" spans="5:6" x14ac:dyDescent="0.2">
      <c r="E350" s="5"/>
      <c r="F350" s="5"/>
    </row>
    <row r="351" spans="5:6" x14ac:dyDescent="0.2">
      <c r="E351" s="5"/>
      <c r="F351" s="5"/>
    </row>
    <row r="352" spans="5:6" x14ac:dyDescent="0.2">
      <c r="E352" s="5"/>
      <c r="F352" s="5"/>
    </row>
    <row r="353" spans="5:6" x14ac:dyDescent="0.2">
      <c r="E353" s="5"/>
      <c r="F353" s="5"/>
    </row>
    <row r="354" spans="5:6" x14ac:dyDescent="0.2">
      <c r="E354" s="5"/>
      <c r="F354" s="5"/>
    </row>
    <row r="355" spans="5:6" x14ac:dyDescent="0.2">
      <c r="E355" s="5"/>
      <c r="F355" s="5"/>
    </row>
    <row r="356" spans="5:6" x14ac:dyDescent="0.2">
      <c r="E356" s="5"/>
      <c r="F356" s="5"/>
    </row>
    <row r="357" spans="5:6" x14ac:dyDescent="0.2">
      <c r="E357" s="5"/>
      <c r="F357" s="5"/>
    </row>
    <row r="358" spans="5:6" x14ac:dyDescent="0.2">
      <c r="E358" s="5"/>
      <c r="F358" s="5"/>
    </row>
    <row r="359" spans="5:6" x14ac:dyDescent="0.2">
      <c r="E359" s="5"/>
      <c r="F359" s="5"/>
    </row>
    <row r="360" spans="5:6" x14ac:dyDescent="0.2">
      <c r="E360" s="5"/>
      <c r="F360" s="5"/>
    </row>
    <row r="361" spans="5:6" x14ac:dyDescent="0.2">
      <c r="E361" s="5"/>
      <c r="F361" s="5"/>
    </row>
    <row r="362" spans="5:6" x14ac:dyDescent="0.2">
      <c r="E362" s="5"/>
      <c r="F362" s="5"/>
    </row>
    <row r="363" spans="5:6" x14ac:dyDescent="0.2">
      <c r="E363" s="5"/>
      <c r="F363" s="5"/>
    </row>
    <row r="364" spans="5:6" x14ac:dyDescent="0.2">
      <c r="E364" s="5"/>
      <c r="F364" s="5"/>
    </row>
    <row r="365" spans="5:6" x14ac:dyDescent="0.2">
      <c r="E365" s="5"/>
      <c r="F365" s="5"/>
    </row>
    <row r="366" spans="5:6" x14ac:dyDescent="0.2">
      <c r="E366" s="5"/>
      <c r="F366" s="5"/>
    </row>
    <row r="367" spans="5:6" x14ac:dyDescent="0.2">
      <c r="E367" s="5"/>
      <c r="F367" s="5"/>
    </row>
    <row r="368" spans="5:6" x14ac:dyDescent="0.2">
      <c r="E368" s="5"/>
      <c r="F368" s="5"/>
    </row>
    <row r="369" spans="5:6" x14ac:dyDescent="0.2">
      <c r="E369" s="5"/>
      <c r="F369" s="5"/>
    </row>
    <row r="370" spans="5:6" x14ac:dyDescent="0.2">
      <c r="E370" s="5"/>
      <c r="F370" s="5"/>
    </row>
    <row r="371" spans="5:6" x14ac:dyDescent="0.2">
      <c r="E371" s="5"/>
      <c r="F371" s="5"/>
    </row>
    <row r="372" spans="5:6" x14ac:dyDescent="0.2">
      <c r="E372" s="5"/>
      <c r="F372" s="5"/>
    </row>
    <row r="373" spans="5:6" x14ac:dyDescent="0.2">
      <c r="E373" s="5"/>
      <c r="F373" s="5"/>
    </row>
    <row r="374" spans="5:6" x14ac:dyDescent="0.2">
      <c r="E374" s="5"/>
      <c r="F374" s="5"/>
    </row>
    <row r="375" spans="5:6" x14ac:dyDescent="0.2">
      <c r="E375" s="5"/>
      <c r="F375" s="5"/>
    </row>
    <row r="376" spans="5:6" x14ac:dyDescent="0.2">
      <c r="E376" s="5"/>
      <c r="F376" s="5"/>
    </row>
    <row r="377" spans="5:6" x14ac:dyDescent="0.2">
      <c r="E377" s="5"/>
      <c r="F377" s="5"/>
    </row>
    <row r="378" spans="5:6" x14ac:dyDescent="0.2">
      <c r="E378" s="5"/>
      <c r="F378" s="5"/>
    </row>
    <row r="379" spans="5:6" x14ac:dyDescent="0.2">
      <c r="E379" s="5"/>
      <c r="F379" s="5"/>
    </row>
    <row r="380" spans="5:6" x14ac:dyDescent="0.2">
      <c r="E380" s="5"/>
      <c r="F380" s="5"/>
    </row>
    <row r="381" spans="5:6" x14ac:dyDescent="0.2">
      <c r="E381" s="5"/>
      <c r="F381" s="5"/>
    </row>
    <row r="382" spans="5:6" x14ac:dyDescent="0.2">
      <c r="E382" s="5"/>
      <c r="F382" s="5"/>
    </row>
    <row r="383" spans="5:6" x14ac:dyDescent="0.2">
      <c r="E383" s="5"/>
      <c r="F383" s="5"/>
    </row>
    <row r="384" spans="5:6" x14ac:dyDescent="0.2">
      <c r="E384" s="5"/>
      <c r="F384" s="5"/>
    </row>
    <row r="385" spans="5:6" x14ac:dyDescent="0.2">
      <c r="E385" s="5"/>
      <c r="F385" s="5"/>
    </row>
    <row r="386" spans="5:6" x14ac:dyDescent="0.2">
      <c r="E386" s="5"/>
      <c r="F386" s="5"/>
    </row>
    <row r="387" spans="5:6" x14ac:dyDescent="0.2">
      <c r="E387" s="5"/>
      <c r="F387" s="5"/>
    </row>
    <row r="388" spans="5:6" x14ac:dyDescent="0.2">
      <c r="E388" s="5"/>
      <c r="F388" s="5"/>
    </row>
    <row r="389" spans="5:6" x14ac:dyDescent="0.2">
      <c r="E389" s="5"/>
      <c r="F389" s="5"/>
    </row>
    <row r="390" spans="5:6" x14ac:dyDescent="0.2">
      <c r="E390" s="5"/>
      <c r="F390" s="5"/>
    </row>
    <row r="391" spans="5:6" x14ac:dyDescent="0.2">
      <c r="E391" s="5"/>
      <c r="F391" s="5"/>
    </row>
    <row r="392" spans="5:6" x14ac:dyDescent="0.2">
      <c r="E392" s="5"/>
      <c r="F392" s="5"/>
    </row>
    <row r="393" spans="5:6" x14ac:dyDescent="0.2">
      <c r="E393" s="5"/>
      <c r="F393" s="5"/>
    </row>
    <row r="394" spans="5:6" x14ac:dyDescent="0.2">
      <c r="E394" s="5"/>
      <c r="F394" s="5"/>
    </row>
    <row r="395" spans="5:6" x14ac:dyDescent="0.2">
      <c r="E395" s="5"/>
      <c r="F395" s="5"/>
    </row>
    <row r="396" spans="5:6" x14ac:dyDescent="0.2">
      <c r="E396" s="5"/>
      <c r="F396" s="5"/>
    </row>
    <row r="397" spans="5:6" x14ac:dyDescent="0.2">
      <c r="E397" s="5"/>
      <c r="F397" s="5"/>
    </row>
    <row r="398" spans="5:6" x14ac:dyDescent="0.2">
      <c r="E398" s="5"/>
      <c r="F398" s="5"/>
    </row>
    <row r="399" spans="5:6" x14ac:dyDescent="0.2">
      <c r="E399" s="5"/>
      <c r="F399" s="5"/>
    </row>
    <row r="400" spans="5:6" x14ac:dyDescent="0.2">
      <c r="E400" s="5"/>
      <c r="F400" s="5"/>
    </row>
    <row r="401" spans="5:6" x14ac:dyDescent="0.2">
      <c r="E401" s="5"/>
      <c r="F401" s="5"/>
    </row>
    <row r="402" spans="5:6" x14ac:dyDescent="0.2">
      <c r="E402" s="5"/>
      <c r="F402" s="5"/>
    </row>
    <row r="403" spans="5:6" x14ac:dyDescent="0.2">
      <c r="E403" s="5"/>
      <c r="F403" s="5"/>
    </row>
    <row r="404" spans="5:6" x14ac:dyDescent="0.2">
      <c r="E404" s="5"/>
      <c r="F404" s="5"/>
    </row>
    <row r="405" spans="5:6" x14ac:dyDescent="0.2">
      <c r="E405" s="5"/>
      <c r="F405" s="5"/>
    </row>
    <row r="406" spans="5:6" x14ac:dyDescent="0.2">
      <c r="E406" s="5"/>
      <c r="F406" s="5"/>
    </row>
    <row r="407" spans="5:6" x14ac:dyDescent="0.2">
      <c r="E407" s="5"/>
      <c r="F407" s="5"/>
    </row>
    <row r="408" spans="5:6" x14ac:dyDescent="0.2">
      <c r="E408" s="5"/>
      <c r="F408" s="5"/>
    </row>
    <row r="409" spans="5:6" x14ac:dyDescent="0.2">
      <c r="E409" s="5"/>
      <c r="F409" s="5"/>
    </row>
    <row r="410" spans="5:6" x14ac:dyDescent="0.2">
      <c r="E410" s="5"/>
      <c r="F410" s="5"/>
    </row>
    <row r="411" spans="5:6" x14ac:dyDescent="0.2">
      <c r="E411" s="5"/>
      <c r="F411" s="5"/>
    </row>
    <row r="412" spans="5:6" x14ac:dyDescent="0.2">
      <c r="E412" s="5"/>
      <c r="F412" s="5"/>
    </row>
    <row r="413" spans="5:6" x14ac:dyDescent="0.2">
      <c r="E413" s="5"/>
      <c r="F413" s="5"/>
    </row>
    <row r="414" spans="5:6" x14ac:dyDescent="0.2">
      <c r="E414" s="5"/>
      <c r="F414" s="5"/>
    </row>
    <row r="415" spans="5:6" x14ac:dyDescent="0.2">
      <c r="E415" s="5"/>
      <c r="F415" s="5"/>
    </row>
    <row r="416" spans="5:6" x14ac:dyDescent="0.2">
      <c r="E416" s="5"/>
      <c r="F416" s="5"/>
    </row>
    <row r="417" spans="5:6" x14ac:dyDescent="0.2">
      <c r="E417" s="5"/>
      <c r="F417" s="5"/>
    </row>
    <row r="418" spans="5:6" x14ac:dyDescent="0.2">
      <c r="E418" s="5"/>
      <c r="F418" s="5"/>
    </row>
    <row r="419" spans="5:6" x14ac:dyDescent="0.2">
      <c r="E419" s="5"/>
      <c r="F419" s="5"/>
    </row>
    <row r="420" spans="5:6" x14ac:dyDescent="0.2">
      <c r="E420" s="5"/>
      <c r="F420" s="5"/>
    </row>
    <row r="421" spans="5:6" x14ac:dyDescent="0.2">
      <c r="E421" s="5"/>
      <c r="F421" s="5"/>
    </row>
    <row r="422" spans="5:6" x14ac:dyDescent="0.2">
      <c r="E422" s="5"/>
      <c r="F422" s="5"/>
    </row>
    <row r="423" spans="5:6" x14ac:dyDescent="0.2">
      <c r="E423" s="5"/>
      <c r="F423" s="5"/>
    </row>
    <row r="424" spans="5:6" x14ac:dyDescent="0.2">
      <c r="E424" s="5"/>
      <c r="F424" s="5"/>
    </row>
    <row r="425" spans="5:6" x14ac:dyDescent="0.2">
      <c r="E425" s="5"/>
      <c r="F425" s="5"/>
    </row>
    <row r="426" spans="5:6" x14ac:dyDescent="0.2">
      <c r="E426" s="5"/>
      <c r="F426" s="5"/>
    </row>
    <row r="427" spans="5:6" x14ac:dyDescent="0.2">
      <c r="E427" s="5"/>
      <c r="F427" s="5"/>
    </row>
    <row r="428" spans="5:6" x14ac:dyDescent="0.2">
      <c r="E428" s="5"/>
      <c r="F428" s="5"/>
    </row>
    <row r="429" spans="5:6" x14ac:dyDescent="0.2">
      <c r="E429" s="5"/>
      <c r="F429" s="5"/>
    </row>
    <row r="430" spans="5:6" x14ac:dyDescent="0.2">
      <c r="E430" s="5"/>
      <c r="F430" s="5"/>
    </row>
    <row r="431" spans="5:6" x14ac:dyDescent="0.2">
      <c r="E431" s="5"/>
      <c r="F431" s="5"/>
    </row>
    <row r="432" spans="5:6" x14ac:dyDescent="0.2">
      <c r="E432" s="5"/>
      <c r="F432" s="5"/>
    </row>
    <row r="433" spans="5:6" x14ac:dyDescent="0.2">
      <c r="E433" s="5"/>
      <c r="F433" s="5"/>
    </row>
    <row r="434" spans="5:6" x14ac:dyDescent="0.2">
      <c r="E434" s="5"/>
      <c r="F434" s="5"/>
    </row>
    <row r="435" spans="5:6" x14ac:dyDescent="0.2">
      <c r="E435" s="5"/>
      <c r="F435" s="5"/>
    </row>
    <row r="436" spans="5:6" x14ac:dyDescent="0.2">
      <c r="E436" s="5"/>
      <c r="F436" s="5"/>
    </row>
    <row r="437" spans="5:6" x14ac:dyDescent="0.2">
      <c r="E437" s="5"/>
      <c r="F437" s="5"/>
    </row>
    <row r="438" spans="5:6" x14ac:dyDescent="0.2">
      <c r="E438" s="5"/>
      <c r="F438" s="5"/>
    </row>
    <row r="439" spans="5:6" x14ac:dyDescent="0.2">
      <c r="E439" s="5"/>
      <c r="F439" s="5"/>
    </row>
    <row r="440" spans="5:6" x14ac:dyDescent="0.2">
      <c r="E440" s="5"/>
      <c r="F440" s="5"/>
    </row>
    <row r="441" spans="5:6" x14ac:dyDescent="0.2">
      <c r="E441" s="5"/>
      <c r="F441" s="5"/>
    </row>
    <row r="442" spans="5:6" x14ac:dyDescent="0.2">
      <c r="E442" s="5"/>
      <c r="F442" s="5"/>
    </row>
    <row r="443" spans="5:6" x14ac:dyDescent="0.2">
      <c r="E443" s="5"/>
      <c r="F443" s="5"/>
    </row>
    <row r="444" spans="5:6" x14ac:dyDescent="0.2">
      <c r="E444" s="5"/>
      <c r="F444" s="5"/>
    </row>
    <row r="445" spans="5:6" x14ac:dyDescent="0.2">
      <c r="E445" s="5"/>
      <c r="F445" s="5"/>
    </row>
    <row r="446" spans="5:6" x14ac:dyDescent="0.2">
      <c r="E446" s="5"/>
      <c r="F446" s="5"/>
    </row>
    <row r="447" spans="5:6" x14ac:dyDescent="0.2">
      <c r="E447" s="5"/>
      <c r="F447" s="5"/>
    </row>
    <row r="448" spans="5:6" x14ac:dyDescent="0.2">
      <c r="E448" s="5"/>
      <c r="F448" s="5"/>
    </row>
  </sheetData>
  <mergeCells count="14">
    <mergeCell ref="A105:F105"/>
    <mergeCell ref="A106:F106"/>
    <mergeCell ref="A107:F107"/>
    <mergeCell ref="B108:C111"/>
    <mergeCell ref="B112:C112"/>
    <mergeCell ref="A54:F54"/>
    <mergeCell ref="A55:F55"/>
    <mergeCell ref="B4:C6"/>
    <mergeCell ref="B56:C58"/>
    <mergeCell ref="A1:F1"/>
    <mergeCell ref="A2:F2"/>
    <mergeCell ref="A3:F3"/>
    <mergeCell ref="B22:C22"/>
    <mergeCell ref="A53:F53"/>
  </mergeCells>
  <phoneticPr fontId="0" type="noConversion"/>
  <printOptions horizontalCentered="1"/>
  <pageMargins left="0.19685039370078741" right="0.19685039370078741" top="0.39370078740157483" bottom="0.19685039370078741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80"/>
  <sheetViews>
    <sheetView topLeftCell="A8" zoomScaleNormal="100" workbookViewId="0">
      <selection activeCell="J75" sqref="J75"/>
    </sheetView>
  </sheetViews>
  <sheetFormatPr defaultColWidth="9.140625" defaultRowHeight="11.25" customHeight="1" x14ac:dyDescent="0.2"/>
  <cols>
    <col min="1" max="1" width="8.140625" style="214" customWidth="1"/>
    <col min="2" max="2" width="28.140625" style="214" bestFit="1" customWidth="1"/>
    <col min="3" max="3" width="20.5703125" style="215" customWidth="1"/>
    <col min="4" max="4" width="20.85546875" style="215" customWidth="1"/>
    <col min="5" max="5" width="20.28515625" style="214" customWidth="1"/>
    <col min="6" max="6" width="1.140625" style="214" customWidth="1"/>
    <col min="7" max="7" width="7" style="214" bestFit="1" customWidth="1"/>
    <col min="8" max="8" width="1.140625" style="214" customWidth="1"/>
    <col min="9" max="9" width="19.7109375" style="214" customWidth="1"/>
    <col min="10" max="10" width="18.42578125" style="215" customWidth="1"/>
    <col min="11" max="11" width="19.28515625" style="214" customWidth="1"/>
    <col min="12" max="12" width="1.7109375" style="214" customWidth="1"/>
    <col min="13" max="13" width="19.7109375" style="214" customWidth="1"/>
    <col min="14" max="14" width="19.5703125" style="214" customWidth="1"/>
    <col min="15" max="18" width="9.140625" style="214"/>
    <col min="19" max="19" width="11.5703125" style="214" bestFit="1" customWidth="1"/>
    <col min="20" max="16384" width="9.140625" style="214"/>
  </cols>
  <sheetData>
    <row r="1" spans="1:14" s="116" customFormat="1" ht="17.25" customHeight="1" x14ac:dyDescent="0.2">
      <c r="A1" s="749" t="s">
        <v>557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</row>
    <row r="2" spans="1:14" s="116" customFormat="1" ht="12.75" customHeight="1" x14ac:dyDescent="0.2">
      <c r="A2" s="749" t="str">
        <f>'MCA BS'!A2:E2</f>
        <v>M.C.A PROGRAMME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</row>
    <row r="3" spans="1:14" s="116" customFormat="1" ht="19.5" customHeight="1" thickBot="1" x14ac:dyDescent="0.25">
      <c r="A3" s="749" t="s">
        <v>664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</row>
    <row r="4" spans="1:14" s="116" customFormat="1" ht="9" customHeight="1" x14ac:dyDescent="0.2">
      <c r="A4" s="242"/>
      <c r="B4" s="243"/>
      <c r="C4" s="244"/>
      <c r="D4" s="244"/>
      <c r="E4" s="243"/>
      <c r="F4" s="243"/>
      <c r="G4" s="243"/>
      <c r="H4" s="243"/>
      <c r="I4" s="243"/>
      <c r="J4" s="244"/>
      <c r="K4" s="243"/>
      <c r="L4" s="243"/>
      <c r="M4" s="243"/>
      <c r="N4" s="245"/>
    </row>
    <row r="5" spans="1:14" s="116" customFormat="1" ht="15" customHeight="1" x14ac:dyDescent="0.2">
      <c r="A5" s="294" t="s">
        <v>506</v>
      </c>
      <c r="B5" s="807" t="s">
        <v>422</v>
      </c>
      <c r="C5" s="807" t="s">
        <v>507</v>
      </c>
      <c r="D5" s="807"/>
      <c r="E5" s="807"/>
      <c r="F5" s="295"/>
      <c r="G5" s="671" t="s">
        <v>76</v>
      </c>
      <c r="H5" s="295"/>
      <c r="I5" s="807" t="s">
        <v>241</v>
      </c>
      <c r="J5" s="807"/>
      <c r="K5" s="807"/>
      <c r="L5" s="295"/>
      <c r="M5" s="807" t="s">
        <v>29</v>
      </c>
      <c r="N5" s="808"/>
    </row>
    <row r="6" spans="1:14" s="116" customFormat="1" ht="15" customHeight="1" x14ac:dyDescent="0.2">
      <c r="A6" s="294" t="s">
        <v>508</v>
      </c>
      <c r="B6" s="807"/>
      <c r="C6" s="296" t="s">
        <v>509</v>
      </c>
      <c r="D6" s="296" t="s">
        <v>510</v>
      </c>
      <c r="E6" s="671" t="s">
        <v>509</v>
      </c>
      <c r="F6" s="671"/>
      <c r="G6" s="807" t="s">
        <v>119</v>
      </c>
      <c r="H6" s="295"/>
      <c r="I6" s="671" t="s">
        <v>511</v>
      </c>
      <c r="J6" s="296" t="s">
        <v>491</v>
      </c>
      <c r="K6" s="671" t="s">
        <v>509</v>
      </c>
      <c r="L6" s="671"/>
      <c r="M6" s="671" t="s">
        <v>509</v>
      </c>
      <c r="N6" s="672" t="s">
        <v>509</v>
      </c>
    </row>
    <row r="7" spans="1:14" s="116" customFormat="1" ht="15" customHeight="1" x14ac:dyDescent="0.2">
      <c r="A7" s="294"/>
      <c r="B7" s="295"/>
      <c r="C7" s="297" t="s">
        <v>665</v>
      </c>
      <c r="D7" s="296" t="s">
        <v>240</v>
      </c>
      <c r="E7" s="297" t="s">
        <v>660</v>
      </c>
      <c r="F7" s="671"/>
      <c r="G7" s="807"/>
      <c r="H7" s="295"/>
      <c r="I7" s="298" t="str">
        <f>C7</f>
        <v>01.04.2024</v>
      </c>
      <c r="J7" s="296"/>
      <c r="K7" s="298" t="str">
        <f>E7</f>
        <v>31.03.2025</v>
      </c>
      <c r="L7" s="671"/>
      <c r="M7" s="298" t="str">
        <f>I7</f>
        <v>01.04.2024</v>
      </c>
      <c r="N7" s="299" t="str">
        <f>K7</f>
        <v>31.03.2025</v>
      </c>
    </row>
    <row r="8" spans="1:14" s="116" customFormat="1" ht="15" customHeight="1" x14ac:dyDescent="0.2">
      <c r="A8" s="248"/>
      <c r="B8" s="249"/>
      <c r="C8" s="641" t="s">
        <v>659</v>
      </c>
      <c r="D8" s="641" t="s">
        <v>659</v>
      </c>
      <c r="E8" s="641" t="s">
        <v>659</v>
      </c>
      <c r="F8" s="247"/>
      <c r="G8" s="673"/>
      <c r="H8" s="247"/>
      <c r="I8" s="641" t="s">
        <v>659</v>
      </c>
      <c r="J8" s="641" t="s">
        <v>659</v>
      </c>
      <c r="K8" s="641" t="s">
        <v>659</v>
      </c>
      <c r="L8" s="247"/>
      <c r="M8" s="641" t="s">
        <v>659</v>
      </c>
      <c r="N8" s="687" t="s">
        <v>659</v>
      </c>
    </row>
    <row r="9" spans="1:14" s="116" customFormat="1" ht="18" customHeight="1" x14ac:dyDescent="0.2">
      <c r="A9" s="253">
        <v>1</v>
      </c>
      <c r="B9" s="249" t="s">
        <v>535</v>
      </c>
      <c r="C9" s="254">
        <v>20640784</v>
      </c>
      <c r="D9" s="255">
        <v>0</v>
      </c>
      <c r="E9" s="255">
        <f>SUM(C9:D9)</f>
        <v>20640784</v>
      </c>
      <c r="F9" s="249"/>
      <c r="G9" s="256">
        <v>10</v>
      </c>
      <c r="H9" s="249"/>
      <c r="I9" s="255">
        <v>16832312</v>
      </c>
      <c r="J9" s="255">
        <f t="shared" ref="J9:J13" si="0">ROUND((M9+D9)*10%,0)</f>
        <v>380847</v>
      </c>
      <c r="K9" s="258">
        <f t="shared" ref="K9:K18" si="1">+I9+J9</f>
        <v>17213159</v>
      </c>
      <c r="L9" s="249"/>
      <c r="M9" s="255">
        <f t="shared" ref="M9:M18" si="2">C9-I9</f>
        <v>3808472</v>
      </c>
      <c r="N9" s="259">
        <f t="shared" ref="N9:N18" si="3">M9+D9-J9</f>
        <v>3427625</v>
      </c>
    </row>
    <row r="10" spans="1:14" s="116" customFormat="1" ht="18" customHeight="1" x14ac:dyDescent="0.2">
      <c r="A10" s="253">
        <v>2</v>
      </c>
      <c r="B10" s="249" t="s">
        <v>537</v>
      </c>
      <c r="C10" s="254">
        <v>20717</v>
      </c>
      <c r="D10" s="255">
        <v>0</v>
      </c>
      <c r="E10" s="255">
        <f>SUM(C10:D10)</f>
        <v>20717</v>
      </c>
      <c r="F10" s="249"/>
      <c r="G10" s="256">
        <v>10</v>
      </c>
      <c r="H10" s="249"/>
      <c r="I10" s="260">
        <v>19137</v>
      </c>
      <c r="J10" s="255">
        <f t="shared" si="0"/>
        <v>158</v>
      </c>
      <c r="K10" s="258">
        <f t="shared" si="1"/>
        <v>19295</v>
      </c>
      <c r="L10" s="249"/>
      <c r="M10" s="255">
        <f t="shared" si="2"/>
        <v>1580</v>
      </c>
      <c r="N10" s="259">
        <f t="shared" si="3"/>
        <v>1422</v>
      </c>
    </row>
    <row r="11" spans="1:14" s="116" customFormat="1" ht="18" customHeight="1" x14ac:dyDescent="0.2">
      <c r="A11" s="253">
        <v>3</v>
      </c>
      <c r="B11" s="249" t="s">
        <v>519</v>
      </c>
      <c r="C11" s="261">
        <v>53091</v>
      </c>
      <c r="D11" s="255">
        <v>0</v>
      </c>
      <c r="E11" s="257">
        <f>+C11+D11</f>
        <v>53091</v>
      </c>
      <c r="F11" s="249"/>
      <c r="G11" s="256">
        <v>10</v>
      </c>
      <c r="H11" s="249"/>
      <c r="I11" s="257">
        <v>46791</v>
      </c>
      <c r="J11" s="255">
        <f t="shared" si="0"/>
        <v>630</v>
      </c>
      <c r="K11" s="258">
        <f t="shared" si="1"/>
        <v>47421</v>
      </c>
      <c r="L11" s="249"/>
      <c r="M11" s="255">
        <f t="shared" si="2"/>
        <v>6300</v>
      </c>
      <c r="N11" s="259">
        <f t="shared" si="3"/>
        <v>5670</v>
      </c>
    </row>
    <row r="12" spans="1:14" s="116" customFormat="1" ht="18" customHeight="1" x14ac:dyDescent="0.2">
      <c r="A12" s="253">
        <v>4</v>
      </c>
      <c r="B12" s="249" t="s">
        <v>536</v>
      </c>
      <c r="C12" s="254">
        <v>6874</v>
      </c>
      <c r="D12" s="255">
        <v>0</v>
      </c>
      <c r="E12" s="255">
        <f>SUM(C12:D12)</f>
        <v>6874</v>
      </c>
      <c r="F12" s="249"/>
      <c r="G12" s="256">
        <v>10</v>
      </c>
      <c r="H12" s="249"/>
      <c r="I12" s="260">
        <v>6874</v>
      </c>
      <c r="J12" s="255">
        <f t="shared" si="0"/>
        <v>0</v>
      </c>
      <c r="K12" s="258">
        <f t="shared" si="1"/>
        <v>6874</v>
      </c>
      <c r="L12" s="249"/>
      <c r="M12" s="255">
        <f t="shared" si="2"/>
        <v>0</v>
      </c>
      <c r="N12" s="259">
        <f>M12+D12-J12</f>
        <v>0</v>
      </c>
    </row>
    <row r="13" spans="1:14" s="116" customFormat="1" ht="31.5" x14ac:dyDescent="0.2">
      <c r="A13" s="253">
        <v>5</v>
      </c>
      <c r="B13" s="262" t="s">
        <v>538</v>
      </c>
      <c r="C13" s="254">
        <v>1656868</v>
      </c>
      <c r="D13" s="255">
        <v>0</v>
      </c>
      <c r="E13" s="255">
        <f>SUM(C13:D13)</f>
        <v>1656868</v>
      </c>
      <c r="F13" s="249"/>
      <c r="G13" s="256">
        <v>10</v>
      </c>
      <c r="H13" s="249"/>
      <c r="I13" s="260">
        <v>1403862</v>
      </c>
      <c r="J13" s="255">
        <f t="shared" si="0"/>
        <v>25301</v>
      </c>
      <c r="K13" s="258">
        <f t="shared" si="1"/>
        <v>1429163</v>
      </c>
      <c r="L13" s="249"/>
      <c r="M13" s="255">
        <f t="shared" si="2"/>
        <v>253006</v>
      </c>
      <c r="N13" s="259">
        <f t="shared" si="3"/>
        <v>227705</v>
      </c>
    </row>
    <row r="14" spans="1:14" s="123" customFormat="1" ht="17.25" customHeight="1" x14ac:dyDescent="0.25">
      <c r="A14" s="674"/>
      <c r="B14" s="263" t="s">
        <v>542</v>
      </c>
      <c r="C14" s="264">
        <f>SUM(C9:C13)</f>
        <v>22378334</v>
      </c>
      <c r="D14" s="264">
        <f>SUM(D9:D13)</f>
        <v>0</v>
      </c>
      <c r="E14" s="265">
        <f>SUM(C14:D14)</f>
        <v>22378334</v>
      </c>
      <c r="F14" s="247"/>
      <c r="G14" s="266"/>
      <c r="H14" s="247"/>
      <c r="I14" s="264">
        <f>SUM(I9:I13)</f>
        <v>18308976</v>
      </c>
      <c r="J14" s="264">
        <f>SUM(J9:J13)</f>
        <v>406936</v>
      </c>
      <c r="K14" s="267">
        <f t="shared" si="1"/>
        <v>18715912</v>
      </c>
      <c r="L14" s="247"/>
      <c r="M14" s="264">
        <f>SUM(M9:M13)</f>
        <v>4069358</v>
      </c>
      <c r="N14" s="688">
        <f>SUM(N9:N13)</f>
        <v>3662422</v>
      </c>
    </row>
    <row r="15" spans="1:14" s="116" customFormat="1" ht="18" customHeight="1" x14ac:dyDescent="0.2">
      <c r="A15" s="253">
        <v>1</v>
      </c>
      <c r="B15" s="249" t="s">
        <v>498</v>
      </c>
      <c r="C15" s="261">
        <v>1864247</v>
      </c>
      <c r="D15" s="255">
        <v>53800</v>
      </c>
      <c r="E15" s="257">
        <f>+C15+D15</f>
        <v>1918047</v>
      </c>
      <c r="F15" s="268"/>
      <c r="G15" s="256">
        <v>10</v>
      </c>
      <c r="H15" s="269"/>
      <c r="I15" s="257">
        <v>1322907</v>
      </c>
      <c r="J15" s="255">
        <f>ROUND((M15*10%)+(D15*5%),)</f>
        <v>56824</v>
      </c>
      <c r="K15" s="258">
        <f t="shared" ref="K15:K17" si="4">+I15+J15</f>
        <v>1379731</v>
      </c>
      <c r="L15" s="268"/>
      <c r="M15" s="255">
        <f t="shared" ref="M15:M16" si="5">C15-I15</f>
        <v>541340</v>
      </c>
      <c r="N15" s="259">
        <f t="shared" ref="N15:N16" si="6">M15+D15-J15</f>
        <v>538316</v>
      </c>
    </row>
    <row r="16" spans="1:14" s="116" customFormat="1" ht="18" customHeight="1" x14ac:dyDescent="0.2">
      <c r="A16" s="253">
        <v>2</v>
      </c>
      <c r="B16" s="249" t="s">
        <v>529</v>
      </c>
      <c r="C16" s="254">
        <v>20025</v>
      </c>
      <c r="D16" s="255">
        <v>0</v>
      </c>
      <c r="E16" s="255">
        <f>SUM(C16:D16)</f>
        <v>20025</v>
      </c>
      <c r="F16" s="249"/>
      <c r="G16" s="256">
        <v>10</v>
      </c>
      <c r="H16" s="249"/>
      <c r="I16" s="260">
        <v>18442</v>
      </c>
      <c r="J16" s="255">
        <f t="shared" ref="J16" si="7">ROUND((M16+D16)*10%,0)</f>
        <v>158</v>
      </c>
      <c r="K16" s="258">
        <f t="shared" si="4"/>
        <v>18600</v>
      </c>
      <c r="L16" s="249"/>
      <c r="M16" s="255">
        <f t="shared" si="5"/>
        <v>1583</v>
      </c>
      <c r="N16" s="259">
        <f t="shared" si="6"/>
        <v>1425</v>
      </c>
    </row>
    <row r="17" spans="1:14" s="123" customFormat="1" ht="18" customHeight="1" x14ac:dyDescent="0.25">
      <c r="A17" s="674"/>
      <c r="B17" s="263" t="s">
        <v>542</v>
      </c>
      <c r="C17" s="264">
        <f>SUM(C15:C16)</f>
        <v>1884272</v>
      </c>
      <c r="D17" s="264">
        <f>SUM(D15:D16)</f>
        <v>53800</v>
      </c>
      <c r="E17" s="265">
        <f>SUM(C17:D17)</f>
        <v>1938072</v>
      </c>
      <c r="F17" s="247"/>
      <c r="G17" s="266"/>
      <c r="H17" s="247"/>
      <c r="I17" s="264">
        <f>SUM(I15:I16)</f>
        <v>1341349</v>
      </c>
      <c r="J17" s="264">
        <f>SUM(J15:J16)</f>
        <v>56982</v>
      </c>
      <c r="K17" s="267">
        <f t="shared" si="4"/>
        <v>1398331</v>
      </c>
      <c r="L17" s="247"/>
      <c r="M17" s="264">
        <f>SUM(M15:M16)</f>
        <v>542923</v>
      </c>
      <c r="N17" s="688">
        <f>SUM(N15:N16)</f>
        <v>539741</v>
      </c>
    </row>
    <row r="18" spans="1:14" s="116" customFormat="1" ht="18" customHeight="1" x14ac:dyDescent="0.2">
      <c r="A18" s="253">
        <v>1</v>
      </c>
      <c r="B18" s="249" t="s">
        <v>514</v>
      </c>
      <c r="C18" s="261">
        <v>1615559</v>
      </c>
      <c r="D18" s="255">
        <v>0</v>
      </c>
      <c r="E18" s="257">
        <f>+C18+D18</f>
        <v>1615559</v>
      </c>
      <c r="F18" s="268"/>
      <c r="G18" s="256">
        <v>15</v>
      </c>
      <c r="H18" s="269"/>
      <c r="I18" s="257">
        <v>1353585</v>
      </c>
      <c r="J18" s="255">
        <f>ROUND((M18+D18)*15%,0)</f>
        <v>39296</v>
      </c>
      <c r="K18" s="258">
        <f t="shared" si="1"/>
        <v>1392881</v>
      </c>
      <c r="L18" s="268"/>
      <c r="M18" s="255">
        <f t="shared" si="2"/>
        <v>261974</v>
      </c>
      <c r="N18" s="259">
        <f t="shared" si="3"/>
        <v>222678</v>
      </c>
    </row>
    <row r="19" spans="1:14" s="116" customFormat="1" ht="18" customHeight="1" x14ac:dyDescent="0.2">
      <c r="A19" s="253">
        <v>2</v>
      </c>
      <c r="B19" s="249" t="s">
        <v>499</v>
      </c>
      <c r="C19" s="261">
        <v>12667</v>
      </c>
      <c r="D19" s="255">
        <v>0</v>
      </c>
      <c r="E19" s="257">
        <f t="shared" ref="E19:E29" si="8">+C19+D19</f>
        <v>12667</v>
      </c>
      <c r="F19" s="268"/>
      <c r="G19" s="256">
        <v>15</v>
      </c>
      <c r="H19" s="269"/>
      <c r="I19" s="257">
        <v>12667</v>
      </c>
      <c r="J19" s="255">
        <f t="shared" ref="J19:J38" si="9">ROUND((M19+D19)*15%,0)</f>
        <v>0</v>
      </c>
      <c r="K19" s="258">
        <f t="shared" ref="K19:K33" si="10">+I19+J19</f>
        <v>12667</v>
      </c>
      <c r="L19" s="258"/>
      <c r="M19" s="255">
        <f t="shared" ref="M19:M33" si="11">C19-I19</f>
        <v>0</v>
      </c>
      <c r="N19" s="259">
        <f t="shared" ref="N19:N33" si="12">M19+D19-J19</f>
        <v>0</v>
      </c>
    </row>
    <row r="20" spans="1:14" s="116" customFormat="1" ht="18" customHeight="1" x14ac:dyDescent="0.2">
      <c r="A20" s="253">
        <v>3</v>
      </c>
      <c r="B20" s="249" t="s">
        <v>500</v>
      </c>
      <c r="C20" s="261">
        <v>106098</v>
      </c>
      <c r="D20" s="260">
        <v>0</v>
      </c>
      <c r="E20" s="257">
        <f>SUM(C20:D20)</f>
        <v>106098</v>
      </c>
      <c r="F20" s="268"/>
      <c r="G20" s="256">
        <v>15</v>
      </c>
      <c r="H20" s="269"/>
      <c r="I20" s="257">
        <v>100953</v>
      </c>
      <c r="J20" s="255">
        <f t="shared" si="9"/>
        <v>772</v>
      </c>
      <c r="K20" s="258">
        <f>+I20+J20</f>
        <v>101725</v>
      </c>
      <c r="L20" s="268"/>
      <c r="M20" s="255">
        <f t="shared" si="11"/>
        <v>5145</v>
      </c>
      <c r="N20" s="259">
        <f t="shared" si="12"/>
        <v>4373</v>
      </c>
    </row>
    <row r="21" spans="1:14" s="116" customFormat="1" ht="18" customHeight="1" x14ac:dyDescent="0.2">
      <c r="A21" s="253">
        <v>4</v>
      </c>
      <c r="B21" s="249" t="s">
        <v>502</v>
      </c>
      <c r="C21" s="261">
        <v>26390</v>
      </c>
      <c r="D21" s="260">
        <v>0</v>
      </c>
      <c r="E21" s="257">
        <f>SUM(C21:D21)</f>
        <v>26390</v>
      </c>
      <c r="F21" s="268"/>
      <c r="G21" s="256">
        <v>15</v>
      </c>
      <c r="H21" s="269"/>
      <c r="I21" s="257">
        <v>26390</v>
      </c>
      <c r="J21" s="255">
        <f t="shared" si="9"/>
        <v>0</v>
      </c>
      <c r="K21" s="258">
        <f t="shared" si="10"/>
        <v>26390</v>
      </c>
      <c r="L21" s="268"/>
      <c r="M21" s="255">
        <f t="shared" si="11"/>
        <v>0</v>
      </c>
      <c r="N21" s="259">
        <f t="shared" si="12"/>
        <v>0</v>
      </c>
    </row>
    <row r="22" spans="1:14" s="116" customFormat="1" ht="18" customHeight="1" x14ac:dyDescent="0.2">
      <c r="A22" s="253">
        <v>5</v>
      </c>
      <c r="B22" s="249" t="s">
        <v>515</v>
      </c>
      <c r="C22" s="261">
        <v>778175</v>
      </c>
      <c r="D22" s="255">
        <v>12500</v>
      </c>
      <c r="E22" s="257">
        <f t="shared" si="8"/>
        <v>790675</v>
      </c>
      <c r="F22" s="268"/>
      <c r="G22" s="256">
        <v>15</v>
      </c>
      <c r="H22" s="269" t="s">
        <v>0</v>
      </c>
      <c r="I22" s="257">
        <v>686435</v>
      </c>
      <c r="J22" s="255">
        <f>ROUND((M22*15%)+(D22*7.5%),)</f>
        <v>14699</v>
      </c>
      <c r="K22" s="258">
        <f t="shared" si="10"/>
        <v>701134</v>
      </c>
      <c r="L22" s="268"/>
      <c r="M22" s="255">
        <f t="shared" si="11"/>
        <v>91740</v>
      </c>
      <c r="N22" s="259">
        <f t="shared" si="12"/>
        <v>89541</v>
      </c>
    </row>
    <row r="23" spans="1:14" s="116" customFormat="1" ht="18" customHeight="1" x14ac:dyDescent="0.2">
      <c r="A23" s="253">
        <v>6</v>
      </c>
      <c r="B23" s="249" t="s">
        <v>516</v>
      </c>
      <c r="C23" s="261">
        <v>710775</v>
      </c>
      <c r="D23" s="257">
        <v>0</v>
      </c>
      <c r="E23" s="257">
        <f t="shared" si="8"/>
        <v>710775</v>
      </c>
      <c r="F23" s="268"/>
      <c r="G23" s="256">
        <v>15</v>
      </c>
      <c r="H23" s="269"/>
      <c r="I23" s="257">
        <v>691981</v>
      </c>
      <c r="J23" s="255">
        <f t="shared" si="9"/>
        <v>2819</v>
      </c>
      <c r="K23" s="258">
        <f t="shared" si="10"/>
        <v>694800</v>
      </c>
      <c r="L23" s="268"/>
      <c r="M23" s="255">
        <f t="shared" si="11"/>
        <v>18794</v>
      </c>
      <c r="N23" s="259">
        <f t="shared" si="12"/>
        <v>15975</v>
      </c>
    </row>
    <row r="24" spans="1:14" s="116" customFormat="1" ht="18" customHeight="1" x14ac:dyDescent="0.2">
      <c r="A24" s="253">
        <v>7</v>
      </c>
      <c r="B24" s="249" t="s">
        <v>517</v>
      </c>
      <c r="C24" s="261">
        <v>23251</v>
      </c>
      <c r="D24" s="257">
        <v>0</v>
      </c>
      <c r="E24" s="257">
        <f t="shared" si="8"/>
        <v>23251</v>
      </c>
      <c r="F24" s="268"/>
      <c r="G24" s="256">
        <v>15</v>
      </c>
      <c r="H24" s="270"/>
      <c r="I24" s="257">
        <v>23251</v>
      </c>
      <c r="J24" s="255">
        <f t="shared" si="9"/>
        <v>0</v>
      </c>
      <c r="K24" s="258">
        <f>+I24+J24</f>
        <v>23251</v>
      </c>
      <c r="L24" s="249"/>
      <c r="M24" s="255">
        <f t="shared" si="11"/>
        <v>0</v>
      </c>
      <c r="N24" s="259">
        <f t="shared" si="12"/>
        <v>0</v>
      </c>
    </row>
    <row r="25" spans="1:14" s="116" customFormat="1" ht="18" customHeight="1" x14ac:dyDescent="0.2">
      <c r="A25" s="253">
        <v>8</v>
      </c>
      <c r="B25" s="249" t="s">
        <v>518</v>
      </c>
      <c r="C25" s="261">
        <v>44173</v>
      </c>
      <c r="D25" s="257">
        <v>0</v>
      </c>
      <c r="E25" s="257">
        <f>SUM(C25:D25)</f>
        <v>44173</v>
      </c>
      <c r="F25" s="268"/>
      <c r="G25" s="256">
        <v>15</v>
      </c>
      <c r="H25" s="270"/>
      <c r="I25" s="257">
        <v>35619</v>
      </c>
      <c r="J25" s="255">
        <f t="shared" si="9"/>
        <v>1283</v>
      </c>
      <c r="K25" s="258">
        <f t="shared" si="10"/>
        <v>36902</v>
      </c>
      <c r="L25" s="268"/>
      <c r="M25" s="255">
        <f t="shared" si="11"/>
        <v>8554</v>
      </c>
      <c r="N25" s="259">
        <f t="shared" si="12"/>
        <v>7271</v>
      </c>
    </row>
    <row r="26" spans="1:14" s="116" customFormat="1" ht="18" customHeight="1" x14ac:dyDescent="0.2">
      <c r="A26" s="253">
        <v>9</v>
      </c>
      <c r="B26" s="249" t="s">
        <v>520</v>
      </c>
      <c r="C26" s="261">
        <v>13068</v>
      </c>
      <c r="D26" s="257">
        <v>0</v>
      </c>
      <c r="E26" s="257">
        <f t="shared" si="8"/>
        <v>13068</v>
      </c>
      <c r="F26" s="249"/>
      <c r="G26" s="256">
        <v>15</v>
      </c>
      <c r="H26" s="249"/>
      <c r="I26" s="260">
        <v>13068</v>
      </c>
      <c r="J26" s="255">
        <f t="shared" si="9"/>
        <v>0</v>
      </c>
      <c r="K26" s="258">
        <f t="shared" si="10"/>
        <v>13068</v>
      </c>
      <c r="L26" s="249"/>
      <c r="M26" s="255">
        <f t="shared" si="11"/>
        <v>0</v>
      </c>
      <c r="N26" s="259">
        <f t="shared" si="12"/>
        <v>0</v>
      </c>
    </row>
    <row r="27" spans="1:14" s="116" customFormat="1" ht="18" customHeight="1" x14ac:dyDescent="0.2">
      <c r="A27" s="253">
        <v>10</v>
      </c>
      <c r="B27" s="249" t="s">
        <v>521</v>
      </c>
      <c r="C27" s="261">
        <v>466395</v>
      </c>
      <c r="D27" s="257">
        <v>0</v>
      </c>
      <c r="E27" s="257">
        <f t="shared" si="8"/>
        <v>466395</v>
      </c>
      <c r="F27" s="249"/>
      <c r="G27" s="256">
        <v>15</v>
      </c>
      <c r="H27" s="249"/>
      <c r="I27" s="255">
        <v>401223</v>
      </c>
      <c r="J27" s="255">
        <f t="shared" si="9"/>
        <v>9776</v>
      </c>
      <c r="K27" s="258">
        <f t="shared" si="10"/>
        <v>410999</v>
      </c>
      <c r="L27" s="249"/>
      <c r="M27" s="255">
        <f t="shared" si="11"/>
        <v>65172</v>
      </c>
      <c r="N27" s="259">
        <f t="shared" si="12"/>
        <v>55396</v>
      </c>
    </row>
    <row r="28" spans="1:14" s="116" customFormat="1" ht="21" customHeight="1" x14ac:dyDescent="0.2">
      <c r="A28" s="253">
        <v>11</v>
      </c>
      <c r="B28" s="249" t="s">
        <v>522</v>
      </c>
      <c r="C28" s="261">
        <v>57763</v>
      </c>
      <c r="D28" s="257">
        <v>0</v>
      </c>
      <c r="E28" s="257">
        <f>+C28+D28</f>
        <v>57763</v>
      </c>
      <c r="F28" s="249"/>
      <c r="G28" s="256">
        <v>15</v>
      </c>
      <c r="H28" s="249"/>
      <c r="I28" s="255">
        <v>51780</v>
      </c>
      <c r="J28" s="255">
        <f t="shared" si="9"/>
        <v>897</v>
      </c>
      <c r="K28" s="258">
        <f>+I28+J28</f>
        <v>52677</v>
      </c>
      <c r="L28" s="249"/>
      <c r="M28" s="255">
        <f t="shared" si="11"/>
        <v>5983</v>
      </c>
      <c r="N28" s="259">
        <f t="shared" si="12"/>
        <v>5086</v>
      </c>
    </row>
    <row r="29" spans="1:14" s="116" customFormat="1" ht="18" customHeight="1" x14ac:dyDescent="0.2">
      <c r="A29" s="253">
        <v>12</v>
      </c>
      <c r="B29" s="249" t="s">
        <v>523</v>
      </c>
      <c r="C29" s="261">
        <v>191895</v>
      </c>
      <c r="D29" s="257">
        <v>0</v>
      </c>
      <c r="E29" s="257">
        <f t="shared" si="8"/>
        <v>191895</v>
      </c>
      <c r="F29" s="249"/>
      <c r="G29" s="256">
        <v>15</v>
      </c>
      <c r="H29" s="249"/>
      <c r="I29" s="255">
        <v>189422</v>
      </c>
      <c r="J29" s="255">
        <f t="shared" si="9"/>
        <v>371</v>
      </c>
      <c r="K29" s="258">
        <f t="shared" si="10"/>
        <v>189793</v>
      </c>
      <c r="L29" s="249"/>
      <c r="M29" s="255">
        <f t="shared" si="11"/>
        <v>2473</v>
      </c>
      <c r="N29" s="259">
        <f t="shared" si="12"/>
        <v>2102</v>
      </c>
    </row>
    <row r="30" spans="1:14" s="116" customFormat="1" ht="18" customHeight="1" x14ac:dyDescent="0.2">
      <c r="A30" s="253">
        <v>13</v>
      </c>
      <c r="B30" s="249" t="s">
        <v>524</v>
      </c>
      <c r="C30" s="254">
        <v>117967</v>
      </c>
      <c r="D30" s="257">
        <v>0</v>
      </c>
      <c r="E30" s="255">
        <f>SUM(C30:D30)</f>
        <v>117967</v>
      </c>
      <c r="F30" s="249"/>
      <c r="G30" s="256">
        <v>15</v>
      </c>
      <c r="H30" s="249"/>
      <c r="I30" s="260">
        <v>100944</v>
      </c>
      <c r="J30" s="255">
        <f>ROUND((M30+D30)*15%,0)-1</f>
        <v>2552</v>
      </c>
      <c r="K30" s="258">
        <f t="shared" si="10"/>
        <v>103496</v>
      </c>
      <c r="L30" s="249"/>
      <c r="M30" s="255">
        <f t="shared" si="11"/>
        <v>17023</v>
      </c>
      <c r="N30" s="259">
        <f t="shared" si="12"/>
        <v>14471</v>
      </c>
    </row>
    <row r="31" spans="1:14" s="116" customFormat="1" ht="18" customHeight="1" x14ac:dyDescent="0.2">
      <c r="A31" s="253">
        <v>14</v>
      </c>
      <c r="B31" s="249" t="s">
        <v>525</v>
      </c>
      <c r="C31" s="254">
        <v>55513</v>
      </c>
      <c r="D31" s="257">
        <v>0</v>
      </c>
      <c r="E31" s="255">
        <f>SUM(C31:D31)</f>
        <v>55513</v>
      </c>
      <c r="F31" s="249"/>
      <c r="G31" s="256">
        <v>15</v>
      </c>
      <c r="H31" s="249"/>
      <c r="I31" s="260">
        <v>36380</v>
      </c>
      <c r="J31" s="255">
        <f t="shared" si="9"/>
        <v>2870</v>
      </c>
      <c r="K31" s="258">
        <f t="shared" si="10"/>
        <v>39250</v>
      </c>
      <c r="L31" s="249"/>
      <c r="M31" s="255">
        <f t="shared" si="11"/>
        <v>19133</v>
      </c>
      <c r="N31" s="259">
        <f t="shared" si="12"/>
        <v>16263</v>
      </c>
    </row>
    <row r="32" spans="1:14" s="116" customFormat="1" ht="18" customHeight="1" x14ac:dyDescent="0.2">
      <c r="A32" s="253">
        <v>15</v>
      </c>
      <c r="B32" s="249" t="s">
        <v>526</v>
      </c>
      <c r="C32" s="254">
        <v>9013</v>
      </c>
      <c r="D32" s="257">
        <v>0</v>
      </c>
      <c r="E32" s="255">
        <f>SUM(C32:D32)</f>
        <v>9013</v>
      </c>
      <c r="F32" s="249"/>
      <c r="G32" s="256">
        <v>15</v>
      </c>
      <c r="H32" s="249"/>
      <c r="I32" s="260">
        <v>9013</v>
      </c>
      <c r="J32" s="255">
        <f t="shared" si="9"/>
        <v>0</v>
      </c>
      <c r="K32" s="258">
        <f t="shared" si="10"/>
        <v>9013</v>
      </c>
      <c r="L32" s="249"/>
      <c r="M32" s="255">
        <f t="shared" si="11"/>
        <v>0</v>
      </c>
      <c r="N32" s="259">
        <f t="shared" si="12"/>
        <v>0</v>
      </c>
    </row>
    <row r="33" spans="1:14" s="116" customFormat="1" ht="18" customHeight="1" x14ac:dyDescent="0.2">
      <c r="A33" s="253">
        <v>16</v>
      </c>
      <c r="B33" s="249" t="s">
        <v>527</v>
      </c>
      <c r="C33" s="254">
        <v>244576</v>
      </c>
      <c r="D33" s="257">
        <v>0</v>
      </c>
      <c r="E33" s="255">
        <f>SUM(C33:D33)</f>
        <v>244576</v>
      </c>
      <c r="F33" s="249"/>
      <c r="G33" s="256">
        <v>15</v>
      </c>
      <c r="H33" s="249"/>
      <c r="I33" s="260">
        <v>239846</v>
      </c>
      <c r="J33" s="255">
        <f t="shared" si="9"/>
        <v>710</v>
      </c>
      <c r="K33" s="258">
        <f t="shared" si="10"/>
        <v>240556</v>
      </c>
      <c r="L33" s="249"/>
      <c r="M33" s="255">
        <f t="shared" si="11"/>
        <v>4730</v>
      </c>
      <c r="N33" s="259">
        <f t="shared" si="12"/>
        <v>4020</v>
      </c>
    </row>
    <row r="34" spans="1:14" s="116" customFormat="1" ht="18" customHeight="1" x14ac:dyDescent="0.2">
      <c r="A34" s="253">
        <v>17</v>
      </c>
      <c r="B34" s="262" t="s">
        <v>530</v>
      </c>
      <c r="C34" s="271">
        <v>90106</v>
      </c>
      <c r="D34" s="257">
        <v>0</v>
      </c>
      <c r="E34" s="273">
        <f>+C34+D34</f>
        <v>90106</v>
      </c>
      <c r="F34" s="274"/>
      <c r="G34" s="256">
        <v>15</v>
      </c>
      <c r="H34" s="276"/>
      <c r="I34" s="273">
        <v>86040</v>
      </c>
      <c r="J34" s="255">
        <f t="shared" si="9"/>
        <v>610</v>
      </c>
      <c r="K34" s="277">
        <f>+I34+J34</f>
        <v>86650</v>
      </c>
      <c r="L34" s="274"/>
      <c r="M34" s="272">
        <f t="shared" ref="M34:M38" si="13">C34-I34</f>
        <v>4066</v>
      </c>
      <c r="N34" s="278">
        <f t="shared" ref="N34:N38" si="14">M34+D34-J34</f>
        <v>3456</v>
      </c>
    </row>
    <row r="35" spans="1:14" s="116" customFormat="1" ht="18" customHeight="1" x14ac:dyDescent="0.2">
      <c r="A35" s="253">
        <v>18</v>
      </c>
      <c r="B35" s="262" t="s">
        <v>531</v>
      </c>
      <c r="C35" s="271">
        <v>11448</v>
      </c>
      <c r="D35" s="257">
        <v>0</v>
      </c>
      <c r="E35" s="273">
        <f>+C35+D35</f>
        <v>11448</v>
      </c>
      <c r="F35" s="262"/>
      <c r="G35" s="256">
        <v>15</v>
      </c>
      <c r="H35" s="262"/>
      <c r="I35" s="279">
        <v>11448</v>
      </c>
      <c r="J35" s="255">
        <f t="shared" si="9"/>
        <v>0</v>
      </c>
      <c r="K35" s="277">
        <f>+I35+J35</f>
        <v>11448</v>
      </c>
      <c r="L35" s="262"/>
      <c r="M35" s="272">
        <f t="shared" si="13"/>
        <v>0</v>
      </c>
      <c r="N35" s="278">
        <f t="shared" si="14"/>
        <v>0</v>
      </c>
    </row>
    <row r="36" spans="1:14" s="116" customFormat="1" ht="18" customHeight="1" x14ac:dyDescent="0.2">
      <c r="A36" s="253">
        <v>19</v>
      </c>
      <c r="B36" s="262" t="s">
        <v>532</v>
      </c>
      <c r="C36" s="280">
        <v>130414</v>
      </c>
      <c r="D36" s="257">
        <v>0</v>
      </c>
      <c r="E36" s="272">
        <f>SUM(C36:D36)</f>
        <v>130414</v>
      </c>
      <c r="F36" s="262"/>
      <c r="G36" s="256">
        <v>15</v>
      </c>
      <c r="H36" s="262"/>
      <c r="I36" s="279">
        <v>122183</v>
      </c>
      <c r="J36" s="255">
        <f t="shared" si="9"/>
        <v>1235</v>
      </c>
      <c r="K36" s="277">
        <f>I36+J36</f>
        <v>123418</v>
      </c>
      <c r="L36" s="262"/>
      <c r="M36" s="272">
        <f t="shared" si="13"/>
        <v>8231</v>
      </c>
      <c r="N36" s="278">
        <f t="shared" si="14"/>
        <v>6996</v>
      </c>
    </row>
    <row r="37" spans="1:14" s="116" customFormat="1" ht="18" customHeight="1" x14ac:dyDescent="0.2">
      <c r="A37" s="253">
        <v>20</v>
      </c>
      <c r="B37" s="262" t="s">
        <v>533</v>
      </c>
      <c r="C37" s="271">
        <v>16284</v>
      </c>
      <c r="D37" s="257">
        <v>0</v>
      </c>
      <c r="E37" s="273">
        <f>SUM(C37:D37)</f>
        <v>16284</v>
      </c>
      <c r="F37" s="262"/>
      <c r="G37" s="275">
        <v>15</v>
      </c>
      <c r="H37" s="262"/>
      <c r="I37" s="272">
        <v>16284</v>
      </c>
      <c r="J37" s="255">
        <f t="shared" si="9"/>
        <v>0</v>
      </c>
      <c r="K37" s="277">
        <f>+I37+J37</f>
        <v>16284</v>
      </c>
      <c r="L37" s="262"/>
      <c r="M37" s="272">
        <f t="shared" si="13"/>
        <v>0</v>
      </c>
      <c r="N37" s="278">
        <f t="shared" si="14"/>
        <v>0</v>
      </c>
    </row>
    <row r="38" spans="1:14" s="116" customFormat="1" ht="18" customHeight="1" x14ac:dyDescent="0.2">
      <c r="A38" s="253">
        <v>21</v>
      </c>
      <c r="B38" s="262" t="s">
        <v>503</v>
      </c>
      <c r="C38" s="271">
        <v>429600</v>
      </c>
      <c r="D38" s="257">
        <v>0</v>
      </c>
      <c r="E38" s="273">
        <f>SUM(C38:D38)</f>
        <v>429600</v>
      </c>
      <c r="F38" s="262"/>
      <c r="G38" s="275">
        <v>15</v>
      </c>
      <c r="H38" s="262"/>
      <c r="I38" s="272">
        <v>392148</v>
      </c>
      <c r="J38" s="255">
        <f t="shared" si="9"/>
        <v>5618</v>
      </c>
      <c r="K38" s="277">
        <f>+I38+J38</f>
        <v>397766</v>
      </c>
      <c r="L38" s="262"/>
      <c r="M38" s="272">
        <f t="shared" si="13"/>
        <v>37452</v>
      </c>
      <c r="N38" s="278">
        <f t="shared" si="14"/>
        <v>31834</v>
      </c>
    </row>
    <row r="39" spans="1:14" s="116" customFormat="1" ht="15.75" customHeight="1" thickBot="1" x14ac:dyDescent="0.3">
      <c r="A39" s="689"/>
      <c r="B39" s="286" t="s">
        <v>528</v>
      </c>
      <c r="C39" s="690">
        <f>SUM(C18:C38)</f>
        <v>5151130</v>
      </c>
      <c r="D39" s="690">
        <f>SUM(D18:D38)</f>
        <v>12500</v>
      </c>
      <c r="E39" s="690">
        <f>SUM(E18:E38)</f>
        <v>5163630</v>
      </c>
      <c r="F39" s="691"/>
      <c r="G39" s="691"/>
      <c r="H39" s="691"/>
      <c r="I39" s="690">
        <f>SUM(I18:I38)</f>
        <v>4600660</v>
      </c>
      <c r="J39" s="690">
        <f>SUM(J18:J38)</f>
        <v>83508</v>
      </c>
      <c r="K39" s="690">
        <f>SUM(K18:K38)</f>
        <v>4684168</v>
      </c>
      <c r="L39" s="691"/>
      <c r="M39" s="690">
        <f>SUM(M18:M38)</f>
        <v>550470</v>
      </c>
      <c r="N39" s="692">
        <f>SUM(N18:N38)</f>
        <v>479462</v>
      </c>
    </row>
    <row r="40" spans="1:14" s="116" customFormat="1" ht="18" customHeight="1" x14ac:dyDescent="0.25">
      <c r="A40" s="288"/>
      <c r="B40" s="290"/>
      <c r="C40" s="293"/>
      <c r="D40" s="293"/>
      <c r="E40" s="293"/>
      <c r="I40" s="293"/>
      <c r="J40" s="293"/>
      <c r="K40" s="293"/>
      <c r="M40" s="809" t="s">
        <v>558</v>
      </c>
      <c r="N40" s="809"/>
    </row>
    <row r="41" spans="1:14" s="116" customFormat="1" ht="18" customHeight="1" x14ac:dyDescent="0.25">
      <c r="A41" s="288"/>
      <c r="B41" s="290"/>
      <c r="C41" s="293"/>
      <c r="D41" s="293"/>
      <c r="E41" s="293"/>
      <c r="I41" s="293"/>
      <c r="J41" s="293"/>
      <c r="K41" s="293"/>
      <c r="M41" s="293"/>
      <c r="N41" s="293"/>
    </row>
    <row r="42" spans="1:14" s="116" customFormat="1" ht="18" customHeight="1" x14ac:dyDescent="0.2">
      <c r="A42" s="749" t="s">
        <v>557</v>
      </c>
      <c r="B42" s="749"/>
      <c r="C42" s="749"/>
      <c r="D42" s="749"/>
      <c r="E42" s="749"/>
      <c r="F42" s="749"/>
      <c r="G42" s="749"/>
      <c r="H42" s="749"/>
      <c r="I42" s="749"/>
      <c r="J42" s="749"/>
      <c r="K42" s="749"/>
      <c r="L42" s="749"/>
      <c r="M42" s="749"/>
      <c r="N42" s="749"/>
    </row>
    <row r="43" spans="1:14" s="116" customFormat="1" ht="18" customHeight="1" x14ac:dyDescent="0.2">
      <c r="A43" s="749" t="str">
        <f>A2</f>
        <v>M.C.A PROGRAMME</v>
      </c>
      <c r="B43" s="749"/>
      <c r="C43" s="749"/>
      <c r="D43" s="749"/>
      <c r="E43" s="749"/>
      <c r="F43" s="749"/>
      <c r="G43" s="749"/>
      <c r="H43" s="749"/>
      <c r="I43" s="749"/>
      <c r="J43" s="749"/>
      <c r="K43" s="749"/>
      <c r="L43" s="749"/>
      <c r="M43" s="749"/>
      <c r="N43" s="749"/>
    </row>
    <row r="44" spans="1:14" s="116" customFormat="1" ht="18" customHeight="1" thickBot="1" x14ac:dyDescent="0.25">
      <c r="A44" s="749" t="s">
        <v>664</v>
      </c>
      <c r="B44" s="749"/>
      <c r="C44" s="749"/>
      <c r="D44" s="749"/>
      <c r="E44" s="749"/>
      <c r="F44" s="749"/>
      <c r="G44" s="749"/>
      <c r="H44" s="749"/>
      <c r="I44" s="749"/>
      <c r="J44" s="749"/>
      <c r="K44" s="749"/>
      <c r="L44" s="749"/>
      <c r="M44" s="749"/>
      <c r="N44" s="749"/>
    </row>
    <row r="45" spans="1:14" s="116" customFormat="1" ht="18" customHeight="1" x14ac:dyDescent="0.2">
      <c r="A45" s="693"/>
      <c r="B45" s="694"/>
      <c r="C45" s="694"/>
      <c r="D45" s="694"/>
      <c r="E45" s="694"/>
      <c r="F45" s="694"/>
      <c r="G45" s="694"/>
      <c r="H45" s="694"/>
      <c r="I45" s="694"/>
      <c r="J45" s="694"/>
      <c r="K45" s="694"/>
      <c r="L45" s="694"/>
      <c r="M45" s="694"/>
      <c r="N45" s="695"/>
    </row>
    <row r="46" spans="1:14" s="116" customFormat="1" ht="15" customHeight="1" x14ac:dyDescent="0.2">
      <c r="A46" s="294" t="s">
        <v>506</v>
      </c>
      <c r="B46" s="807" t="s">
        <v>422</v>
      </c>
      <c r="C46" s="807" t="s">
        <v>507</v>
      </c>
      <c r="D46" s="807"/>
      <c r="E46" s="807"/>
      <c r="F46" s="295"/>
      <c r="G46" s="671" t="s">
        <v>76</v>
      </c>
      <c r="H46" s="295"/>
      <c r="I46" s="807" t="s">
        <v>241</v>
      </c>
      <c r="J46" s="807"/>
      <c r="K46" s="807"/>
      <c r="L46" s="295"/>
      <c r="M46" s="807" t="s">
        <v>29</v>
      </c>
      <c r="N46" s="808"/>
    </row>
    <row r="47" spans="1:14" s="116" customFormat="1" ht="15" customHeight="1" x14ac:dyDescent="0.2">
      <c r="A47" s="294" t="s">
        <v>508</v>
      </c>
      <c r="B47" s="807"/>
      <c r="C47" s="296" t="s">
        <v>509</v>
      </c>
      <c r="D47" s="296" t="s">
        <v>510</v>
      </c>
      <c r="E47" s="671" t="s">
        <v>509</v>
      </c>
      <c r="F47" s="671"/>
      <c r="G47" s="807" t="s">
        <v>119</v>
      </c>
      <c r="H47" s="295"/>
      <c r="I47" s="671" t="s">
        <v>511</v>
      </c>
      <c r="J47" s="296" t="s">
        <v>491</v>
      </c>
      <c r="K47" s="671" t="s">
        <v>509</v>
      </c>
      <c r="L47" s="671"/>
      <c r="M47" s="671" t="s">
        <v>509</v>
      </c>
      <c r="N47" s="672" t="s">
        <v>509</v>
      </c>
    </row>
    <row r="48" spans="1:14" s="116" customFormat="1" ht="15" customHeight="1" x14ac:dyDescent="0.2">
      <c r="A48" s="294"/>
      <c r="B48" s="295"/>
      <c r="C48" s="300" t="str">
        <f>C7</f>
        <v>01.04.2024</v>
      </c>
      <c r="D48" s="296" t="s">
        <v>240</v>
      </c>
      <c r="E48" s="298" t="str">
        <f>K48</f>
        <v>31.03.2025</v>
      </c>
      <c r="F48" s="671"/>
      <c r="G48" s="807"/>
      <c r="H48" s="295"/>
      <c r="I48" s="298" t="str">
        <f>M48</f>
        <v>01.04.2024</v>
      </c>
      <c r="J48" s="296"/>
      <c r="K48" s="298" t="str">
        <f>N48</f>
        <v>31.03.2025</v>
      </c>
      <c r="L48" s="671"/>
      <c r="M48" s="298" t="str">
        <f>M7</f>
        <v>01.04.2024</v>
      </c>
      <c r="N48" s="299" t="str">
        <f>N7</f>
        <v>31.03.2025</v>
      </c>
    </row>
    <row r="49" spans="1:19" s="116" customFormat="1" ht="15" customHeight="1" x14ac:dyDescent="0.2">
      <c r="A49" s="248"/>
      <c r="B49" s="249"/>
      <c r="C49" s="641" t="s">
        <v>659</v>
      </c>
      <c r="D49" s="641" t="s">
        <v>659</v>
      </c>
      <c r="E49" s="641" t="s">
        <v>659</v>
      </c>
      <c r="F49" s="249"/>
      <c r="G49" s="270"/>
      <c r="H49" s="249"/>
      <c r="I49" s="641" t="s">
        <v>659</v>
      </c>
      <c r="J49" s="641" t="s">
        <v>659</v>
      </c>
      <c r="K49" s="641" t="s">
        <v>659</v>
      </c>
      <c r="L49" s="249"/>
      <c r="M49" s="641" t="s">
        <v>659</v>
      </c>
      <c r="N49" s="687" t="s">
        <v>659</v>
      </c>
    </row>
    <row r="50" spans="1:19" s="116" customFormat="1" ht="18" customHeight="1" x14ac:dyDescent="0.2">
      <c r="A50" s="253"/>
      <c r="B50" s="673" t="s">
        <v>504</v>
      </c>
      <c r="C50" s="291">
        <f>C39</f>
        <v>5151130</v>
      </c>
      <c r="D50" s="291">
        <f t="shared" ref="D50:E50" si="15">D39</f>
        <v>12500</v>
      </c>
      <c r="E50" s="291">
        <f t="shared" si="15"/>
        <v>5163630</v>
      </c>
      <c r="F50" s="281"/>
      <c r="G50" s="282"/>
      <c r="H50" s="281"/>
      <c r="I50" s="291">
        <f t="shared" ref="I50:K50" si="16">I39</f>
        <v>4600660</v>
      </c>
      <c r="J50" s="291">
        <f t="shared" si="16"/>
        <v>83508</v>
      </c>
      <c r="K50" s="291">
        <f t="shared" si="16"/>
        <v>4684168</v>
      </c>
      <c r="L50" s="281"/>
      <c r="M50" s="291">
        <f t="shared" ref="M50:N50" si="17">M39</f>
        <v>550470</v>
      </c>
      <c r="N50" s="696">
        <f t="shared" si="17"/>
        <v>479462</v>
      </c>
    </row>
    <row r="51" spans="1:19" s="116" customFormat="1" ht="30.75" customHeight="1" x14ac:dyDescent="0.2">
      <c r="A51" s="253">
        <v>22</v>
      </c>
      <c r="B51" s="262" t="s">
        <v>539</v>
      </c>
      <c r="C51" s="271">
        <v>30667</v>
      </c>
      <c r="D51" s="257">
        <v>0</v>
      </c>
      <c r="E51" s="272">
        <f t="shared" ref="E51:E56" si="18">SUM(C51:D51)</f>
        <v>30667</v>
      </c>
      <c r="F51" s="262"/>
      <c r="G51" s="275">
        <v>15</v>
      </c>
      <c r="H51" s="262"/>
      <c r="I51" s="273">
        <v>26959</v>
      </c>
      <c r="J51" s="255">
        <f t="shared" ref="J51:J55" si="19">ROUND((M51+D51)*15%,0)</f>
        <v>556</v>
      </c>
      <c r="K51" s="277">
        <f t="shared" ref="K51:K56" si="20">+I51+J51</f>
        <v>27515</v>
      </c>
      <c r="L51" s="262"/>
      <c r="M51" s="272">
        <f>C51-I51</f>
        <v>3708</v>
      </c>
      <c r="N51" s="278">
        <f t="shared" ref="N51:N56" si="21">M51+D51-J51</f>
        <v>3152</v>
      </c>
    </row>
    <row r="52" spans="1:19" s="116" customFormat="1" ht="18" customHeight="1" x14ac:dyDescent="0.2">
      <c r="A52" s="253">
        <v>23</v>
      </c>
      <c r="B52" s="249" t="s">
        <v>540</v>
      </c>
      <c r="C52" s="261">
        <v>9167</v>
      </c>
      <c r="D52" s="257">
        <v>0</v>
      </c>
      <c r="E52" s="255">
        <f t="shared" si="18"/>
        <v>9167</v>
      </c>
      <c r="F52" s="249"/>
      <c r="G52" s="256">
        <v>15</v>
      </c>
      <c r="H52" s="249"/>
      <c r="I52" s="257">
        <v>7787</v>
      </c>
      <c r="J52" s="255">
        <f t="shared" si="19"/>
        <v>207</v>
      </c>
      <c r="K52" s="258">
        <f t="shared" si="20"/>
        <v>7994</v>
      </c>
      <c r="L52" s="249"/>
      <c r="M52" s="255">
        <f>C52-I52</f>
        <v>1380</v>
      </c>
      <c r="N52" s="259">
        <f t="shared" si="21"/>
        <v>1173</v>
      </c>
    </row>
    <row r="53" spans="1:19" s="116" customFormat="1" ht="18" customHeight="1" x14ac:dyDescent="0.2">
      <c r="A53" s="253">
        <v>24</v>
      </c>
      <c r="B53" s="249" t="s">
        <v>541</v>
      </c>
      <c r="C53" s="261">
        <v>11450</v>
      </c>
      <c r="D53" s="257">
        <v>0</v>
      </c>
      <c r="E53" s="255">
        <f t="shared" si="18"/>
        <v>11450</v>
      </c>
      <c r="F53" s="249"/>
      <c r="G53" s="256">
        <v>15</v>
      </c>
      <c r="H53" s="249"/>
      <c r="I53" s="257">
        <v>10108</v>
      </c>
      <c r="J53" s="255">
        <f t="shared" si="19"/>
        <v>201</v>
      </c>
      <c r="K53" s="258">
        <f t="shared" si="20"/>
        <v>10309</v>
      </c>
      <c r="L53" s="249"/>
      <c r="M53" s="255">
        <f>C53-I53</f>
        <v>1342</v>
      </c>
      <c r="N53" s="259">
        <f t="shared" si="21"/>
        <v>1141</v>
      </c>
    </row>
    <row r="54" spans="1:19" s="116" customFormat="1" ht="18" customHeight="1" x14ac:dyDescent="0.2">
      <c r="A54" s="253">
        <v>25</v>
      </c>
      <c r="B54" s="249" t="s">
        <v>612</v>
      </c>
      <c r="C54" s="545">
        <v>584033</v>
      </c>
      <c r="D54" s="257">
        <v>0</v>
      </c>
      <c r="E54" s="255">
        <f t="shared" si="18"/>
        <v>584033</v>
      </c>
      <c r="F54" s="281"/>
      <c r="G54" s="282">
        <v>15</v>
      </c>
      <c r="H54" s="281"/>
      <c r="I54" s="547">
        <v>405616</v>
      </c>
      <c r="J54" s="255">
        <f t="shared" si="19"/>
        <v>26763</v>
      </c>
      <c r="K54" s="258">
        <f t="shared" si="20"/>
        <v>432379</v>
      </c>
      <c r="L54" s="281"/>
      <c r="M54" s="255">
        <f>L54+C54-I54</f>
        <v>178417</v>
      </c>
      <c r="N54" s="259">
        <f t="shared" si="21"/>
        <v>151654</v>
      </c>
    </row>
    <row r="55" spans="1:19" s="116" customFormat="1" ht="18" customHeight="1" x14ac:dyDescent="0.2">
      <c r="A55" s="253">
        <v>26</v>
      </c>
      <c r="B55" s="249" t="s">
        <v>613</v>
      </c>
      <c r="C55" s="545">
        <v>584033</v>
      </c>
      <c r="D55" s="257">
        <v>0</v>
      </c>
      <c r="E55" s="255">
        <f t="shared" si="18"/>
        <v>584033</v>
      </c>
      <c r="F55" s="281"/>
      <c r="G55" s="282">
        <v>15</v>
      </c>
      <c r="H55" s="281"/>
      <c r="I55" s="547">
        <v>405616</v>
      </c>
      <c r="J55" s="255">
        <f t="shared" si="19"/>
        <v>26763</v>
      </c>
      <c r="K55" s="258">
        <f t="shared" si="20"/>
        <v>432379</v>
      </c>
      <c r="L55" s="281"/>
      <c r="M55" s="255">
        <f>L55+C55-I55</f>
        <v>178417</v>
      </c>
      <c r="N55" s="259">
        <f t="shared" si="21"/>
        <v>151654</v>
      </c>
    </row>
    <row r="56" spans="1:19" s="116" customFormat="1" ht="18" customHeight="1" x14ac:dyDescent="0.2">
      <c r="A56" s="253">
        <v>27</v>
      </c>
      <c r="B56" s="249" t="s">
        <v>637</v>
      </c>
      <c r="C56" s="545">
        <v>15650</v>
      </c>
      <c r="D56" s="257">
        <v>0</v>
      </c>
      <c r="E56" s="546">
        <f t="shared" si="18"/>
        <v>15650</v>
      </c>
      <c r="F56" s="281"/>
      <c r="G56" s="282">
        <v>15</v>
      </c>
      <c r="H56" s="281"/>
      <c r="I56" s="547">
        <v>5191</v>
      </c>
      <c r="J56" s="255">
        <f>ROUND((M56+D56)*15%,0)</f>
        <v>1569</v>
      </c>
      <c r="K56" s="258">
        <f t="shared" si="20"/>
        <v>6760</v>
      </c>
      <c r="L56" s="281"/>
      <c r="M56" s="255">
        <f>L56+C56-I56</f>
        <v>10459</v>
      </c>
      <c r="N56" s="259">
        <f t="shared" si="21"/>
        <v>8890</v>
      </c>
    </row>
    <row r="57" spans="1:19" s="116" customFormat="1" ht="18" customHeight="1" x14ac:dyDescent="0.2">
      <c r="A57" s="253"/>
      <c r="B57" s="263" t="s">
        <v>542</v>
      </c>
      <c r="C57" s="291">
        <f>SUM(C50:C56)</f>
        <v>6386130</v>
      </c>
      <c r="D57" s="291">
        <f>SUM(D50:D56)</f>
        <v>12500</v>
      </c>
      <c r="E57" s="291">
        <f>SUM(E50:E56)</f>
        <v>6398630</v>
      </c>
      <c r="F57" s="281"/>
      <c r="G57" s="282"/>
      <c r="H57" s="281"/>
      <c r="I57" s="291">
        <f>SUM(I50:I56)</f>
        <v>5461937</v>
      </c>
      <c r="J57" s="291">
        <f>SUM(J50:J56)</f>
        <v>139567</v>
      </c>
      <c r="K57" s="291">
        <f>SUM(K50:K56)</f>
        <v>5601504</v>
      </c>
      <c r="L57" s="281"/>
      <c r="M57" s="291">
        <f>SUM(M50:M56)</f>
        <v>924193</v>
      </c>
      <c r="N57" s="696">
        <f>SUM(N50:N56)</f>
        <v>797126</v>
      </c>
    </row>
    <row r="58" spans="1:19" s="116" customFormat="1" ht="18" customHeight="1" x14ac:dyDescent="0.2">
      <c r="A58" s="253">
        <v>1</v>
      </c>
      <c r="B58" s="262" t="s">
        <v>689</v>
      </c>
      <c r="C58" s="280">
        <v>167300</v>
      </c>
      <c r="D58" s="257">
        <v>0</v>
      </c>
      <c r="E58" s="272">
        <f>SUM(C58:D58)</f>
        <v>167300</v>
      </c>
      <c r="F58" s="262"/>
      <c r="G58" s="275">
        <v>15</v>
      </c>
      <c r="H58" s="262"/>
      <c r="I58" s="279">
        <v>165453</v>
      </c>
      <c r="J58" s="255">
        <f t="shared" ref="J58" si="22">ROUND((M58+D58)*15%,0)</f>
        <v>277</v>
      </c>
      <c r="K58" s="277">
        <f>+I58+J58</f>
        <v>165730</v>
      </c>
      <c r="L58" s="262"/>
      <c r="M58" s="272">
        <f t="shared" ref="M58" si="23">C58-I58</f>
        <v>1847</v>
      </c>
      <c r="N58" s="278">
        <f t="shared" ref="N58" si="24">M58+D58-J58</f>
        <v>1570</v>
      </c>
    </row>
    <row r="59" spans="1:19" s="116" customFormat="1" ht="18" customHeight="1" x14ac:dyDescent="0.2">
      <c r="A59" s="253"/>
      <c r="B59" s="263" t="s">
        <v>542</v>
      </c>
      <c r="C59" s="291">
        <f>SUM(C58:C58)</f>
        <v>167300</v>
      </c>
      <c r="D59" s="291">
        <f>SUM(D58:D58)</f>
        <v>0</v>
      </c>
      <c r="E59" s="291">
        <f>SUM(E58:E58)</f>
        <v>167300</v>
      </c>
      <c r="F59" s="281"/>
      <c r="G59" s="282"/>
      <c r="H59" s="281"/>
      <c r="I59" s="291">
        <f>SUM(I58:I58)</f>
        <v>165453</v>
      </c>
      <c r="J59" s="291">
        <f>SUM(J58:J58)</f>
        <v>277</v>
      </c>
      <c r="K59" s="291">
        <f>SUM(K58:K58)</f>
        <v>165730</v>
      </c>
      <c r="L59" s="281"/>
      <c r="M59" s="291">
        <f>SUM(M58:M58)</f>
        <v>1847</v>
      </c>
      <c r="N59" s="696">
        <f>SUM(N58:N58)</f>
        <v>1570</v>
      </c>
    </row>
    <row r="60" spans="1:19" s="116" customFormat="1" ht="18" customHeight="1" x14ac:dyDescent="0.2">
      <c r="A60" s="253">
        <v>1</v>
      </c>
      <c r="B60" s="249" t="s">
        <v>505</v>
      </c>
      <c r="C60" s="261">
        <v>8460267</v>
      </c>
      <c r="D60" s="257">
        <v>0</v>
      </c>
      <c r="E60" s="257">
        <f>+C60+D60</f>
        <v>8460267</v>
      </c>
      <c r="F60" s="268"/>
      <c r="G60" s="285" t="s">
        <v>634</v>
      </c>
      <c r="H60" s="269"/>
      <c r="I60" s="257">
        <v>8220016</v>
      </c>
      <c r="J60" s="255">
        <f>ROUND((M60+D60)*40%,0)</f>
        <v>96100</v>
      </c>
      <c r="K60" s="258">
        <f>+I60+J60</f>
        <v>8316116</v>
      </c>
      <c r="L60" s="268"/>
      <c r="M60" s="255">
        <f>C60-I60</f>
        <v>240251</v>
      </c>
      <c r="N60" s="259">
        <f>M60+D60-J60</f>
        <v>144151</v>
      </c>
    </row>
    <row r="61" spans="1:19" s="116" customFormat="1" ht="18" customHeight="1" x14ac:dyDescent="0.2">
      <c r="A61" s="253">
        <v>2</v>
      </c>
      <c r="B61" s="249" t="s">
        <v>645</v>
      </c>
      <c r="C61" s="261">
        <v>137716</v>
      </c>
      <c r="D61" s="255">
        <v>14300</v>
      </c>
      <c r="E61" s="257">
        <f>SUM(C61:D61)</f>
        <v>152016</v>
      </c>
      <c r="F61" s="268"/>
      <c r="G61" s="285" t="s">
        <v>634</v>
      </c>
      <c r="H61" s="269"/>
      <c r="I61" s="257">
        <v>58858</v>
      </c>
      <c r="J61" s="255">
        <f>ROUND((M61+D61)*40%,0)</f>
        <v>37263</v>
      </c>
      <c r="K61" s="258">
        <f>+I61+J61</f>
        <v>96121</v>
      </c>
      <c r="L61" s="268"/>
      <c r="M61" s="255">
        <f>C61-I61</f>
        <v>78858</v>
      </c>
      <c r="N61" s="259">
        <f>M61+D61-J61</f>
        <v>55895</v>
      </c>
    </row>
    <row r="62" spans="1:19" s="116" customFormat="1" ht="18" customHeight="1" x14ac:dyDescent="0.2">
      <c r="A62" s="253">
        <v>3</v>
      </c>
      <c r="B62" s="249" t="s">
        <v>633</v>
      </c>
      <c r="C62" s="261">
        <v>116500</v>
      </c>
      <c r="D62" s="257">
        <v>0</v>
      </c>
      <c r="E62" s="257">
        <f>SUM(C62:D62)</f>
        <v>116500</v>
      </c>
      <c r="F62" s="249"/>
      <c r="G62" s="285" t="s">
        <v>634</v>
      </c>
      <c r="H62" s="249"/>
      <c r="I62" s="255">
        <v>107441</v>
      </c>
      <c r="J62" s="255">
        <f>ROUND((M62+D62)*40%,0)</f>
        <v>3624</v>
      </c>
      <c r="K62" s="258">
        <f>+I62+J62</f>
        <v>111065</v>
      </c>
      <c r="L62" s="249"/>
      <c r="M62" s="255">
        <f>C62-I62</f>
        <v>9059</v>
      </c>
      <c r="N62" s="259">
        <f>M62+D62-J62</f>
        <v>5435</v>
      </c>
    </row>
    <row r="63" spans="1:19" s="116" customFormat="1" ht="18" customHeight="1" x14ac:dyDescent="0.2">
      <c r="A63" s="253"/>
      <c r="B63" s="263" t="s">
        <v>542</v>
      </c>
      <c r="C63" s="291">
        <f>SUM(C60:C62)</f>
        <v>8714483</v>
      </c>
      <c r="D63" s="291">
        <f>SUM(D60:D62)</f>
        <v>14300</v>
      </c>
      <c r="E63" s="291">
        <f>SUM(E60:E62)</f>
        <v>8728783</v>
      </c>
      <c r="F63" s="281"/>
      <c r="G63" s="282"/>
      <c r="H63" s="281"/>
      <c r="I63" s="291">
        <f>SUM(I60:I62)</f>
        <v>8386315</v>
      </c>
      <c r="J63" s="291">
        <f>SUM(J60:J62)</f>
        <v>136987</v>
      </c>
      <c r="K63" s="291">
        <f>SUM(K60:K62)</f>
        <v>8523302</v>
      </c>
      <c r="L63" s="281"/>
      <c r="M63" s="291">
        <f>SUM(M60:M62)</f>
        <v>328168</v>
      </c>
      <c r="N63" s="696">
        <f>SUM(N60:N62)</f>
        <v>205481</v>
      </c>
    </row>
    <row r="64" spans="1:19" s="116" customFormat="1" ht="18" customHeight="1" x14ac:dyDescent="0.2">
      <c r="A64" s="253">
        <v>1</v>
      </c>
      <c r="B64" s="249" t="s">
        <v>501</v>
      </c>
      <c r="C64" s="261">
        <v>2217998</v>
      </c>
      <c r="D64" s="255">
        <v>0</v>
      </c>
      <c r="E64" s="257">
        <f>SUM(C64:D64)</f>
        <v>2217998</v>
      </c>
      <c r="F64" s="268"/>
      <c r="G64" s="285" t="s">
        <v>634</v>
      </c>
      <c r="H64" s="269"/>
      <c r="I64" s="257">
        <v>2117692</v>
      </c>
      <c r="J64" s="255">
        <f>ROUND((M64+D64)*40%,0)</f>
        <v>40122</v>
      </c>
      <c r="K64" s="257">
        <f>SUM(I64:J64)</f>
        <v>2157814</v>
      </c>
      <c r="L64" s="268"/>
      <c r="M64" s="255">
        <f>C64-I64</f>
        <v>100306</v>
      </c>
      <c r="N64" s="259">
        <f>M64+D64-J64</f>
        <v>60184</v>
      </c>
      <c r="S64" s="614"/>
    </row>
    <row r="65" spans="1:14" s="116" customFormat="1" ht="18" customHeight="1" x14ac:dyDescent="0.2">
      <c r="A65" s="253"/>
      <c r="B65" s="263" t="s">
        <v>542</v>
      </c>
      <c r="C65" s="291">
        <f>SUM(C64)</f>
        <v>2217998</v>
      </c>
      <c r="D65" s="291">
        <f t="shared" ref="D65:E65" si="25">SUM(D64)</f>
        <v>0</v>
      </c>
      <c r="E65" s="291">
        <f t="shared" si="25"/>
        <v>2217998</v>
      </c>
      <c r="F65" s="281"/>
      <c r="G65" s="282"/>
      <c r="H65" s="281"/>
      <c r="I65" s="291">
        <f>SUM(I64)</f>
        <v>2117692</v>
      </c>
      <c r="J65" s="291">
        <f t="shared" ref="J65" si="26">SUM(J64)</f>
        <v>40122</v>
      </c>
      <c r="K65" s="291">
        <f t="shared" ref="K65:N65" si="27">SUM(K64)</f>
        <v>2157814</v>
      </c>
      <c r="L65" s="281"/>
      <c r="M65" s="291">
        <f t="shared" si="27"/>
        <v>100306</v>
      </c>
      <c r="N65" s="696">
        <f t="shared" si="27"/>
        <v>60184</v>
      </c>
    </row>
    <row r="66" spans="1:14" s="116" customFormat="1" ht="18" customHeight="1" x14ac:dyDescent="0.2">
      <c r="A66" s="253"/>
      <c r="B66" s="292"/>
      <c r="C66" s="291"/>
      <c r="D66" s="291"/>
      <c r="E66" s="291"/>
      <c r="F66" s="281"/>
      <c r="G66" s="282"/>
      <c r="H66" s="281"/>
      <c r="I66" s="291"/>
      <c r="J66" s="291"/>
      <c r="K66" s="291"/>
      <c r="L66" s="281"/>
      <c r="M66" s="291"/>
      <c r="N66" s="696"/>
    </row>
    <row r="67" spans="1:14" s="116" customFormat="1" ht="20.25" customHeight="1" thickBot="1" x14ac:dyDescent="0.25">
      <c r="A67" s="689"/>
      <c r="B67" s="286" t="s">
        <v>543</v>
      </c>
      <c r="C67" s="697">
        <f>+C14+C17+C57+C59+C63+C65</f>
        <v>41748517</v>
      </c>
      <c r="D67" s="697">
        <f>+D14+D17+D57+D59+D63+D65</f>
        <v>80600</v>
      </c>
      <c r="E67" s="697">
        <f>+E14+E17+E57+E59+E63+E65</f>
        <v>41829117</v>
      </c>
      <c r="F67" s="698"/>
      <c r="G67" s="699"/>
      <c r="H67" s="698"/>
      <c r="I67" s="697">
        <f>+I14+I17+I57+I59+I63+I65</f>
        <v>35781722</v>
      </c>
      <c r="J67" s="697">
        <f>+J14+J17+J57+J59+J63+J65</f>
        <v>780871</v>
      </c>
      <c r="K67" s="697">
        <f>+K14+K17+K57+K59+K63+K65</f>
        <v>36562593</v>
      </c>
      <c r="L67" s="698"/>
      <c r="M67" s="697">
        <f>+M14+M17+M57+M59+M63+M65</f>
        <v>5966795</v>
      </c>
      <c r="N67" s="700">
        <f>+N14+N17+N57+N59+N63+N65</f>
        <v>5266524</v>
      </c>
    </row>
    <row r="68" spans="1:14" s="116" customFormat="1" ht="17.25" customHeight="1" x14ac:dyDescent="0.2">
      <c r="A68" s="283"/>
      <c r="B68" s="283"/>
      <c r="C68" s="283"/>
      <c r="D68" s="283"/>
      <c r="E68" s="283"/>
      <c r="F68" s="283"/>
      <c r="G68" s="283"/>
      <c r="H68" s="283"/>
      <c r="I68" s="283"/>
      <c r="J68" s="287"/>
      <c r="K68" s="283"/>
      <c r="L68" s="283"/>
      <c r="M68" s="283"/>
      <c r="N68" s="283"/>
    </row>
    <row r="69" spans="1:14" s="352" customFormat="1" ht="15.75" x14ac:dyDescent="0.2">
      <c r="I69" s="701"/>
      <c r="J69" s="701"/>
      <c r="K69" s="601"/>
      <c r="L69" s="601"/>
      <c r="M69" s="601"/>
      <c r="N69" s="601"/>
    </row>
    <row r="70" spans="1:14" s="352" customFormat="1" ht="15.75" x14ac:dyDescent="0.2">
      <c r="A70" s="702"/>
      <c r="B70" s="601"/>
      <c r="C70" s="601"/>
      <c r="D70" s="603"/>
      <c r="E70" s="603"/>
      <c r="F70" s="701"/>
      <c r="G70" s="701"/>
      <c r="H70" s="701"/>
      <c r="I70" s="602"/>
      <c r="J70" s="602"/>
      <c r="K70" s="784" t="s">
        <v>620</v>
      </c>
      <c r="L70" s="784"/>
      <c r="M70" s="784"/>
      <c r="N70" s="784"/>
    </row>
    <row r="71" spans="1:14" s="368" customFormat="1" ht="16.5" customHeight="1" x14ac:dyDescent="0.2">
      <c r="A71" s="703"/>
      <c r="B71" s="601"/>
      <c r="C71" s="601"/>
      <c r="D71" s="603"/>
      <c r="E71" s="603"/>
      <c r="F71" s="704"/>
      <c r="G71" s="705"/>
      <c r="I71" s="605"/>
      <c r="J71" s="603"/>
      <c r="K71" s="784" t="s">
        <v>681</v>
      </c>
      <c r="L71" s="784"/>
      <c r="M71" s="784"/>
      <c r="N71" s="784"/>
    </row>
    <row r="72" spans="1:14" s="368" customFormat="1" ht="16.5" customHeight="1" x14ac:dyDescent="0.25">
      <c r="A72" s="703"/>
      <c r="B72" s="670" t="s">
        <v>682</v>
      </c>
      <c r="C72" s="784" t="s">
        <v>683</v>
      </c>
      <c r="D72" s="784"/>
      <c r="E72" s="666"/>
      <c r="F72" s="703"/>
      <c r="H72" s="705"/>
      <c r="I72" s="605"/>
      <c r="J72" s="603"/>
      <c r="K72" s="784" t="s">
        <v>416</v>
      </c>
      <c r="L72" s="784"/>
      <c r="M72" s="784"/>
      <c r="N72" s="784"/>
    </row>
    <row r="73" spans="1:14" s="368" customFormat="1" ht="16.5" customHeight="1" x14ac:dyDescent="0.25">
      <c r="A73" s="706"/>
      <c r="B73" s="670" t="s">
        <v>671</v>
      </c>
      <c r="C73" s="784" t="s">
        <v>621</v>
      </c>
      <c r="D73" s="784"/>
      <c r="E73" s="666"/>
      <c r="H73" s="705"/>
      <c r="I73" s="605"/>
      <c r="J73" s="603"/>
      <c r="K73" s="784" t="s">
        <v>684</v>
      </c>
      <c r="L73" s="784"/>
      <c r="M73" s="784"/>
      <c r="N73" s="784"/>
    </row>
    <row r="74" spans="1:14" s="368" customFormat="1" ht="16.5" customHeight="1" x14ac:dyDescent="0.25">
      <c r="A74" s="706"/>
      <c r="B74" s="670"/>
      <c r="C74" s="601"/>
      <c r="D74" s="603"/>
      <c r="E74" s="603"/>
      <c r="G74" s="705"/>
      <c r="I74" s="605"/>
      <c r="J74" s="603"/>
      <c r="K74" s="666"/>
      <c r="L74" s="666"/>
      <c r="M74" s="666"/>
      <c r="N74" s="666"/>
    </row>
    <row r="75" spans="1:14" s="368" customFormat="1" ht="16.5" customHeight="1" x14ac:dyDescent="0.2">
      <c r="A75" s="703"/>
      <c r="B75" s="670"/>
      <c r="C75" s="601"/>
      <c r="D75" s="603"/>
      <c r="E75" s="603"/>
      <c r="I75" s="603"/>
      <c r="J75" s="603"/>
      <c r="K75" s="601"/>
      <c r="L75" s="601"/>
      <c r="M75" s="601"/>
      <c r="N75" s="601"/>
    </row>
    <row r="76" spans="1:14" s="368" customFormat="1" ht="16.5" customHeight="1" x14ac:dyDescent="0.2">
      <c r="A76" s="703"/>
      <c r="B76" s="670"/>
      <c r="C76" s="601"/>
      <c r="D76" s="603"/>
      <c r="E76" s="603"/>
      <c r="G76" s="705"/>
      <c r="H76" s="352"/>
      <c r="I76" s="603"/>
      <c r="J76" s="603"/>
      <c r="K76" s="601"/>
      <c r="L76" s="601"/>
      <c r="M76" s="601"/>
      <c r="N76" s="601"/>
    </row>
    <row r="77" spans="1:14" s="352" customFormat="1" ht="15.75" x14ac:dyDescent="0.2">
      <c r="B77" s="670"/>
      <c r="C77" s="601"/>
      <c r="D77" s="603"/>
      <c r="E77" s="603"/>
      <c r="H77" s="1"/>
      <c r="I77" s="603"/>
      <c r="J77" s="603"/>
      <c r="K77" s="601"/>
      <c r="L77" s="601"/>
      <c r="M77" s="601"/>
      <c r="N77" s="601"/>
    </row>
    <row r="78" spans="1:14" s="1" customFormat="1" ht="15.75" x14ac:dyDescent="0.25">
      <c r="B78" s="777" t="s">
        <v>685</v>
      </c>
      <c r="C78" s="777"/>
      <c r="D78" s="777"/>
      <c r="E78" s="666"/>
      <c r="I78" s="603" t="s">
        <v>487</v>
      </c>
      <c r="J78" s="603"/>
      <c r="K78" s="784" t="s">
        <v>686</v>
      </c>
      <c r="L78" s="784"/>
      <c r="M78" s="784"/>
      <c r="N78" s="784"/>
    </row>
    <row r="79" spans="1:14" s="1" customFormat="1" ht="15.75" x14ac:dyDescent="0.25">
      <c r="B79" s="777" t="s">
        <v>622</v>
      </c>
      <c r="C79" s="777"/>
      <c r="D79" s="777"/>
      <c r="E79" s="666"/>
      <c r="I79" s="603" t="s">
        <v>690</v>
      </c>
      <c r="J79" s="603"/>
      <c r="K79" s="784" t="s">
        <v>687</v>
      </c>
      <c r="L79" s="784"/>
      <c r="M79" s="784"/>
      <c r="N79" s="784"/>
    </row>
    <row r="80" spans="1:14" s="1" customFormat="1" ht="15.75" x14ac:dyDescent="0.2">
      <c r="I80" s="601"/>
      <c r="J80" s="603"/>
      <c r="K80" s="784" t="s">
        <v>688</v>
      </c>
      <c r="L80" s="784"/>
      <c r="M80" s="784"/>
      <c r="N80" s="784"/>
    </row>
  </sheetData>
  <mergeCells count="28">
    <mergeCell ref="K80:N80"/>
    <mergeCell ref="C73:D73"/>
    <mergeCell ref="K73:N73"/>
    <mergeCell ref="B78:D78"/>
    <mergeCell ref="K78:N78"/>
    <mergeCell ref="B79:D79"/>
    <mergeCell ref="K79:N79"/>
    <mergeCell ref="M46:N46"/>
    <mergeCell ref="B46:B47"/>
    <mergeCell ref="C46:E46"/>
    <mergeCell ref="I46:K46"/>
    <mergeCell ref="G47:G48"/>
    <mergeCell ref="K70:N70"/>
    <mergeCell ref="K71:N71"/>
    <mergeCell ref="C72:D72"/>
    <mergeCell ref="K72:N72"/>
    <mergeCell ref="A1:N1"/>
    <mergeCell ref="A3:N3"/>
    <mergeCell ref="M5:N5"/>
    <mergeCell ref="G6:G7"/>
    <mergeCell ref="A2:N2"/>
    <mergeCell ref="B5:B6"/>
    <mergeCell ref="C5:E5"/>
    <mergeCell ref="I5:K5"/>
    <mergeCell ref="A42:N42"/>
    <mergeCell ref="A43:N43"/>
    <mergeCell ref="A44:N44"/>
    <mergeCell ref="M40:N40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23"/>
  <sheetViews>
    <sheetView topLeftCell="A95" workbookViewId="0">
      <selection activeCell="A50" sqref="A50"/>
    </sheetView>
  </sheetViews>
  <sheetFormatPr defaultColWidth="9.140625" defaultRowHeight="12.75" x14ac:dyDescent="0.2"/>
  <cols>
    <col min="1" max="1" width="4.42578125" style="1" customWidth="1"/>
    <col min="2" max="2" width="57" style="1" customWidth="1"/>
    <col min="3" max="3" width="7.140625" style="1" customWidth="1"/>
    <col min="4" max="4" width="15.7109375" style="238" bestFit="1" customWidth="1"/>
    <col min="5" max="5" width="1.5703125" style="238" bestFit="1" customWidth="1"/>
    <col min="6" max="6" width="15.42578125" style="238" customWidth="1"/>
    <col min="7" max="16384" width="9.140625" style="1"/>
  </cols>
  <sheetData>
    <row r="1" spans="1:6" ht="15.75" x14ac:dyDescent="0.2">
      <c r="A1" s="749" t="s">
        <v>655</v>
      </c>
      <c r="B1" s="749"/>
      <c r="C1" s="749"/>
      <c r="D1" s="749"/>
      <c r="E1" s="749"/>
      <c r="F1" s="749"/>
    </row>
    <row r="2" spans="1:6" ht="15.75" x14ac:dyDescent="0.2">
      <c r="A2" s="749" t="str">
        <f>'COMB - PL'!A2:E2</f>
        <v>CONSOLIDATED FOR MBA AND MCA PROGRAMMES</v>
      </c>
      <c r="B2" s="749"/>
      <c r="C2" s="749"/>
      <c r="D2" s="749"/>
      <c r="E2" s="749"/>
      <c r="F2" s="749"/>
    </row>
    <row r="3" spans="1:6" ht="16.5" thickBot="1" x14ac:dyDescent="0.25">
      <c r="A3" s="749" t="s">
        <v>561</v>
      </c>
      <c r="B3" s="749"/>
      <c r="C3" s="749"/>
      <c r="D3" s="749"/>
      <c r="E3" s="749"/>
      <c r="F3" s="749"/>
    </row>
    <row r="4" spans="1:6" ht="15.75" x14ac:dyDescent="0.2">
      <c r="A4" s="289"/>
      <c r="B4" s="753" t="s">
        <v>422</v>
      </c>
      <c r="C4" s="754"/>
      <c r="D4" s="729" t="s">
        <v>2</v>
      </c>
      <c r="E4" s="730"/>
      <c r="F4" s="731" t="s">
        <v>2</v>
      </c>
    </row>
    <row r="5" spans="1:6" ht="15.75" x14ac:dyDescent="0.2">
      <c r="A5" s="289"/>
      <c r="B5" s="755"/>
      <c r="C5" s="756"/>
      <c r="D5" s="353" t="str">
        <f>'COMB - PL'!C7</f>
        <v>31.03.2025</v>
      </c>
      <c r="E5" s="370"/>
      <c r="F5" s="732" t="str">
        <f>'COMB - PL'!E7</f>
        <v>31.03.2024</v>
      </c>
    </row>
    <row r="6" spans="1:6" ht="15.75" x14ac:dyDescent="0.2">
      <c r="A6" s="289"/>
      <c r="B6" s="757"/>
      <c r="C6" s="758"/>
      <c r="D6" s="420" t="s">
        <v>494</v>
      </c>
      <c r="E6" s="420"/>
      <c r="F6" s="733" t="s">
        <v>494</v>
      </c>
    </row>
    <row r="7" spans="1:6" ht="15.75" x14ac:dyDescent="0.2">
      <c r="A7" s="289"/>
      <c r="B7" s="659"/>
      <c r="C7" s="726"/>
      <c r="D7" s="370"/>
      <c r="E7" s="370"/>
      <c r="F7" s="734"/>
    </row>
    <row r="8" spans="1:6" ht="15.75" x14ac:dyDescent="0.2">
      <c r="A8" s="289"/>
      <c r="B8" s="735" t="s">
        <v>453</v>
      </c>
      <c r="C8" s="721"/>
      <c r="D8" s="369"/>
      <c r="E8" s="369"/>
      <c r="F8" s="736"/>
    </row>
    <row r="9" spans="1:6" ht="15.75" x14ac:dyDescent="0.2">
      <c r="A9" s="289"/>
      <c r="B9" s="737" t="s">
        <v>562</v>
      </c>
      <c r="C9" s="380"/>
      <c r="D9" s="375">
        <f>'MCA Schedules'!D8+'MBA Schedules'!D8</f>
        <v>56161874</v>
      </c>
      <c r="E9" s="375"/>
      <c r="F9" s="480">
        <f>'MCA Schedules'!F8+'MBA Schedules'!F8</f>
        <v>47792228.539999999</v>
      </c>
    </row>
    <row r="10" spans="1:6" ht="15.75" customHeight="1" x14ac:dyDescent="0.2">
      <c r="A10" s="289"/>
      <c r="B10" s="737"/>
      <c r="C10" s="380"/>
      <c r="D10" s="375"/>
      <c r="E10" s="375"/>
      <c r="F10" s="481"/>
    </row>
    <row r="11" spans="1:6" ht="16.5" thickBot="1" x14ac:dyDescent="0.25">
      <c r="A11" s="289"/>
      <c r="B11" s="737" t="s">
        <v>0</v>
      </c>
      <c r="C11" s="380"/>
      <c r="D11" s="382">
        <f>SUM(D8:D10)</f>
        <v>56161874</v>
      </c>
      <c r="E11" s="532"/>
      <c r="F11" s="487">
        <f>SUM(F8:F10)</f>
        <v>47792228.539999999</v>
      </c>
    </row>
    <row r="12" spans="1:6" ht="15.75" x14ac:dyDescent="0.2">
      <c r="A12" s="289"/>
      <c r="B12" s="738" t="s">
        <v>563</v>
      </c>
      <c r="C12" s="380"/>
      <c r="D12" s="375"/>
      <c r="E12" s="375"/>
      <c r="F12" s="481"/>
    </row>
    <row r="13" spans="1:6" ht="15.75" x14ac:dyDescent="0.2">
      <c r="A13" s="289"/>
      <c r="B13" s="737" t="s">
        <v>644</v>
      </c>
      <c r="C13" s="380"/>
      <c r="D13" s="375">
        <f>'COMB - PL'!C37</f>
        <v>-10679103.590000004</v>
      </c>
      <c r="E13" s="375"/>
      <c r="F13" s="481">
        <f>'MBA Schedules'!F12+'MCA Schedules'!F12</f>
        <v>8369645.7700000051</v>
      </c>
    </row>
    <row r="14" spans="1:6" ht="16.5" thickBot="1" x14ac:dyDescent="0.25">
      <c r="A14" s="289"/>
      <c r="B14" s="737"/>
      <c r="C14" s="380"/>
      <c r="D14" s="382">
        <f>D13</f>
        <v>-10679103.590000004</v>
      </c>
      <c r="E14" s="532"/>
      <c r="F14" s="487">
        <f>SUM(F13:F13)</f>
        <v>8369645.7700000051</v>
      </c>
    </row>
    <row r="15" spans="1:6" ht="15.75" x14ac:dyDescent="0.2">
      <c r="A15" s="289"/>
      <c r="B15" s="738" t="s">
        <v>456</v>
      </c>
      <c r="C15" s="380"/>
      <c r="D15" s="375"/>
      <c r="E15" s="375"/>
      <c r="F15" s="481"/>
    </row>
    <row r="16" spans="1:6" ht="15.75" x14ac:dyDescent="0.2">
      <c r="A16" s="289"/>
      <c r="B16" s="737" t="s">
        <v>496</v>
      </c>
      <c r="C16" s="380"/>
      <c r="D16" s="375">
        <f>'MCA Schedules'!D15+'MBA Schedules'!D15</f>
        <v>0</v>
      </c>
      <c r="E16" s="375"/>
      <c r="F16" s="480">
        <f>'MCA Schedules'!F15+'MBA Schedules'!F15</f>
        <v>0</v>
      </c>
    </row>
    <row r="17" spans="1:6" ht="15.75" x14ac:dyDescent="0.2">
      <c r="A17" s="289"/>
      <c r="B17" s="737" t="s">
        <v>454</v>
      </c>
      <c r="C17" s="380"/>
      <c r="D17" s="375">
        <f>'MCA Schedules'!D16+'MBA Schedules'!D16</f>
        <v>0</v>
      </c>
      <c r="E17" s="375"/>
      <c r="F17" s="480">
        <f>'MCA Schedules'!F16+'MBA Schedules'!F16</f>
        <v>0</v>
      </c>
    </row>
    <row r="18" spans="1:6" ht="13.5" customHeight="1" thickBot="1" x14ac:dyDescent="0.25">
      <c r="A18" s="289"/>
      <c r="B18" s="738"/>
      <c r="C18" s="380"/>
      <c r="D18" s="382">
        <f>SUM(D16:D17)</f>
        <v>0</v>
      </c>
      <c r="E18" s="532"/>
      <c r="F18" s="487">
        <f>SUM(F16:F17)</f>
        <v>0</v>
      </c>
    </row>
    <row r="19" spans="1:6" ht="15.75" x14ac:dyDescent="0.2">
      <c r="A19" s="289"/>
      <c r="B19" s="738" t="s">
        <v>457</v>
      </c>
      <c r="C19" s="380"/>
      <c r="D19" s="375"/>
      <c r="E19" s="375"/>
      <c r="F19" s="481"/>
    </row>
    <row r="20" spans="1:6" ht="15.75" x14ac:dyDescent="0.2">
      <c r="A20" s="289"/>
      <c r="B20" s="737"/>
      <c r="C20" s="377"/>
      <c r="D20" s="379"/>
      <c r="E20" s="375"/>
      <c r="F20" s="480"/>
    </row>
    <row r="21" spans="1:6" ht="15.75" x14ac:dyDescent="0.2">
      <c r="A21" s="289"/>
      <c r="B21" s="737" t="s">
        <v>455</v>
      </c>
      <c r="C21" s="377"/>
      <c r="D21" s="375">
        <f>'MCA Schedules'!D19+'MBA Schedules'!D19</f>
        <v>0</v>
      </c>
      <c r="E21" s="375"/>
      <c r="F21" s="480">
        <f>'MCA Schedules'!F19+'MBA Schedules'!F19</f>
        <v>0</v>
      </c>
    </row>
    <row r="22" spans="1:6" ht="15.75" x14ac:dyDescent="0.2">
      <c r="A22" s="289"/>
      <c r="B22" s="737"/>
      <c r="C22" s="377"/>
      <c r="D22" s="379"/>
      <c r="E22" s="375"/>
      <c r="F22" s="480"/>
    </row>
    <row r="23" spans="1:6" ht="16.5" thickBot="1" x14ac:dyDescent="0.25">
      <c r="A23" s="289"/>
      <c r="B23" s="737"/>
      <c r="C23" s="377"/>
      <c r="D23" s="382">
        <f>SUM(D21:D22)</f>
        <v>0</v>
      </c>
      <c r="E23" s="532"/>
      <c r="F23" s="487">
        <f>SUM(F21:F21)</f>
        <v>0</v>
      </c>
    </row>
    <row r="24" spans="1:6" ht="15.75" x14ac:dyDescent="0.2">
      <c r="A24" s="289"/>
      <c r="B24" s="738" t="s">
        <v>564</v>
      </c>
      <c r="C24" s="377"/>
      <c r="D24" s="379"/>
      <c r="E24" s="375"/>
      <c r="F24" s="480"/>
    </row>
    <row r="25" spans="1:6" ht="15.75" x14ac:dyDescent="0.2">
      <c r="A25" s="289"/>
      <c r="B25" s="737" t="s">
        <v>458</v>
      </c>
      <c r="C25" s="380"/>
      <c r="D25" s="375">
        <f>'MCA Schedules'!D23+'MBA Schedules'!D23</f>
        <v>0</v>
      </c>
      <c r="E25" s="375"/>
      <c r="F25" s="480">
        <f>'MCA Schedules'!F23+'MBA Schedules'!F23</f>
        <v>0</v>
      </c>
    </row>
    <row r="26" spans="1:6" ht="15.75" x14ac:dyDescent="0.2">
      <c r="A26" s="289"/>
      <c r="B26" s="737" t="s">
        <v>459</v>
      </c>
      <c r="C26" s="380"/>
      <c r="D26" s="375">
        <f>'MCA Schedules'!D24+'MBA Schedules'!D24</f>
        <v>2604291</v>
      </c>
      <c r="E26" s="375"/>
      <c r="F26" s="480">
        <f>'MCA Schedules'!F24+'MBA Schedules'!F24</f>
        <v>1109465</v>
      </c>
    </row>
    <row r="27" spans="1:6" ht="15.75" x14ac:dyDescent="0.2">
      <c r="A27" s="289"/>
      <c r="B27" s="737" t="s">
        <v>566</v>
      </c>
      <c r="C27" s="380"/>
      <c r="D27" s="375">
        <f>'MCA Schedules'!D25+'MBA Schedules'!D25</f>
        <v>3282068</v>
      </c>
      <c r="E27" s="375"/>
      <c r="F27" s="480">
        <f>'MCA Schedules'!F25+'MBA Schedules'!F25</f>
        <v>2459252</v>
      </c>
    </row>
    <row r="28" spans="1:6" ht="15.75" x14ac:dyDescent="0.2">
      <c r="A28" s="289"/>
      <c r="B28" s="737" t="s">
        <v>486</v>
      </c>
      <c r="C28" s="380"/>
      <c r="D28" s="375">
        <f>'MCA Schedules'!D26+'MBA Schedules'!D26</f>
        <v>119047581.5</v>
      </c>
      <c r="E28" s="381"/>
      <c r="F28" s="480">
        <f>'MCA Schedules'!F26+'MBA Schedules'!F26</f>
        <v>117729160</v>
      </c>
    </row>
    <row r="29" spans="1:6" ht="15.75" x14ac:dyDescent="0.2">
      <c r="A29" s="289"/>
      <c r="B29" s="737"/>
      <c r="C29" s="380"/>
      <c r="D29" s="375"/>
      <c r="E29" s="381"/>
      <c r="F29" s="480"/>
    </row>
    <row r="30" spans="1:6" ht="16.5" thickBot="1" x14ac:dyDescent="0.25">
      <c r="A30" s="289"/>
      <c r="B30" s="737"/>
      <c r="C30" s="380"/>
      <c r="D30" s="382">
        <f>SUM(D25:D29)</f>
        <v>124933940.5</v>
      </c>
      <c r="E30" s="537"/>
      <c r="F30" s="487">
        <f>SUM(F25:F29)</f>
        <v>121297877</v>
      </c>
    </row>
    <row r="31" spans="1:6" ht="15.75" x14ac:dyDescent="0.2">
      <c r="A31" s="289"/>
      <c r="B31" s="738" t="s">
        <v>460</v>
      </c>
      <c r="C31" s="380"/>
      <c r="D31" s="375"/>
      <c r="E31" s="381"/>
      <c r="F31" s="480"/>
    </row>
    <row r="32" spans="1:6" ht="15.75" x14ac:dyDescent="0.2">
      <c r="A32" s="289"/>
      <c r="B32" s="739" t="s">
        <v>593</v>
      </c>
      <c r="C32" s="380"/>
      <c r="D32" s="385">
        <f>'MCA Schedules'!D30+'MBA Schedules'!D30</f>
        <v>23627389.890000001</v>
      </c>
      <c r="E32" s="421"/>
      <c r="F32" s="656">
        <f>'MCA Schedules'!F30+'MBA Schedules'!F30</f>
        <v>25661059.890000001</v>
      </c>
    </row>
    <row r="33" spans="1:6" ht="15.75" x14ac:dyDescent="0.2">
      <c r="A33" s="289"/>
      <c r="B33" s="737"/>
      <c r="C33" s="380"/>
      <c r="D33" s="375"/>
      <c r="E33" s="381"/>
      <c r="F33" s="480"/>
    </row>
    <row r="34" spans="1:6" ht="16.5" thickBot="1" x14ac:dyDescent="0.25">
      <c r="A34" s="289"/>
      <c r="B34" s="737"/>
      <c r="C34" s="380"/>
      <c r="D34" s="382">
        <f>SUM(D32:D33)</f>
        <v>23627389.890000001</v>
      </c>
      <c r="E34" s="537"/>
      <c r="F34" s="487">
        <f>SUM(F32:F33)</f>
        <v>25661059.890000001</v>
      </c>
    </row>
    <row r="35" spans="1:6" ht="15.75" x14ac:dyDescent="0.2">
      <c r="A35" s="289"/>
      <c r="B35" s="738" t="s">
        <v>464</v>
      </c>
      <c r="C35" s="380"/>
      <c r="D35" s="375" t="s">
        <v>0</v>
      </c>
      <c r="E35" s="381"/>
      <c r="F35" s="480"/>
    </row>
    <row r="36" spans="1:6" ht="15.75" x14ac:dyDescent="0.2">
      <c r="A36" s="289"/>
      <c r="B36" s="737" t="s">
        <v>462</v>
      </c>
      <c r="C36" s="380"/>
      <c r="D36" s="375">
        <f>'MCA Schedules'!D34+'MBA Schedules'!D34</f>
        <v>2243493</v>
      </c>
      <c r="E36" s="381"/>
      <c r="F36" s="480">
        <f>'MCA Schedules'!F34+'MBA Schedules'!F34</f>
        <v>2148844</v>
      </c>
    </row>
    <row r="37" spans="1:6" ht="15.75" x14ac:dyDescent="0.2">
      <c r="A37" s="289"/>
      <c r="B37" s="737" t="s">
        <v>463</v>
      </c>
      <c r="C37" s="380"/>
      <c r="D37" s="375">
        <f>'MCA Schedules'!D35+'MBA Schedules'!D35</f>
        <v>5956516</v>
      </c>
      <c r="E37" s="381"/>
      <c r="F37" s="480">
        <f>'MCA Schedules'!F35+'MBA Schedules'!F35</f>
        <v>5833683</v>
      </c>
    </row>
    <row r="38" spans="1:6" ht="15.75" x14ac:dyDescent="0.2">
      <c r="A38" s="289"/>
      <c r="B38" s="737"/>
      <c r="C38" s="380"/>
      <c r="D38" s="375"/>
      <c r="E38" s="381"/>
      <c r="F38" s="480"/>
    </row>
    <row r="39" spans="1:6" ht="16.5" thickBot="1" x14ac:dyDescent="0.25">
      <c r="A39" s="289"/>
      <c r="B39" s="737"/>
      <c r="C39" s="380"/>
      <c r="D39" s="382">
        <f>SUM(D36:D38)</f>
        <v>8200009</v>
      </c>
      <c r="E39" s="537"/>
      <c r="F39" s="487">
        <f>SUM(F36:F38)</f>
        <v>7982527</v>
      </c>
    </row>
    <row r="40" spans="1:6" ht="15.75" x14ac:dyDescent="0.2">
      <c r="A40" s="289"/>
      <c r="B40" s="738" t="s">
        <v>568</v>
      </c>
      <c r="C40" s="380"/>
      <c r="D40" s="375"/>
      <c r="E40" s="381"/>
      <c r="F40" s="480"/>
    </row>
    <row r="41" spans="1:6" ht="15.75" x14ac:dyDescent="0.2">
      <c r="A41" s="289"/>
      <c r="B41" s="737" t="s">
        <v>569</v>
      </c>
      <c r="C41" s="380"/>
      <c r="D41" s="375">
        <f>'MCA Schedules'!D39+'MBA Schedules'!D39</f>
        <v>3600691</v>
      </c>
      <c r="E41" s="381"/>
      <c r="F41" s="480">
        <f>'MCA Schedules'!F39+'MBA Schedules'!F39</f>
        <v>3657751</v>
      </c>
    </row>
    <row r="42" spans="1:6" ht="15.75" x14ac:dyDescent="0.2">
      <c r="A42" s="289"/>
      <c r="B42" s="737" t="s">
        <v>465</v>
      </c>
      <c r="C42" s="380"/>
      <c r="D42" s="375">
        <f>'MCA Schedules'!D40+'MBA Schedules'!D40</f>
        <v>31240600</v>
      </c>
      <c r="E42" s="381"/>
      <c r="F42" s="480">
        <f>'MCA Schedules'!F40+'MBA Schedules'!F40</f>
        <v>32761250</v>
      </c>
    </row>
    <row r="43" spans="1:6" ht="15.75" x14ac:dyDescent="0.2">
      <c r="A43" s="289"/>
      <c r="B43" s="737" t="s">
        <v>466</v>
      </c>
      <c r="C43" s="380"/>
      <c r="D43" s="375">
        <f>'MCA Schedules'!D41+'MBA Schedules'!D41</f>
        <v>491406</v>
      </c>
      <c r="E43" s="381"/>
      <c r="F43" s="480">
        <f>'MCA Schedules'!F41+'MBA Schedules'!F41</f>
        <v>123732</v>
      </c>
    </row>
    <row r="44" spans="1:6" ht="15.75" x14ac:dyDescent="0.2">
      <c r="A44" s="289"/>
      <c r="B44" s="737" t="s">
        <v>486</v>
      </c>
      <c r="C44" s="380"/>
      <c r="D44" s="375">
        <f>'MCA Schedules'!D42+'MBA Schedules'!D42</f>
        <v>99156800.080000013</v>
      </c>
      <c r="E44" s="381"/>
      <c r="F44" s="480">
        <f>'MCA Schedules'!F42+'MBA Schedules'!F42</f>
        <v>89743860</v>
      </c>
    </row>
    <row r="45" spans="1:6" ht="16.5" thickBot="1" x14ac:dyDescent="0.25">
      <c r="A45" s="289"/>
      <c r="B45" s="737"/>
      <c r="C45" s="380"/>
      <c r="D45" s="382">
        <f>SUM(D41:D44)</f>
        <v>134489497.08000001</v>
      </c>
      <c r="E45" s="537"/>
      <c r="F45" s="487">
        <f>SUM(F41:F44)</f>
        <v>126286593</v>
      </c>
    </row>
    <row r="46" spans="1:6" ht="15.75" x14ac:dyDescent="0.2">
      <c r="A46" s="289"/>
      <c r="B46" s="738" t="s">
        <v>467</v>
      </c>
      <c r="C46" s="380"/>
      <c r="D46" s="375"/>
      <c r="E46" s="381"/>
      <c r="F46" s="480"/>
    </row>
    <row r="47" spans="1:6" ht="15.75" x14ac:dyDescent="0.2">
      <c r="A47" s="289"/>
      <c r="B47" s="737"/>
      <c r="C47" s="380"/>
      <c r="D47" s="375"/>
      <c r="E47" s="381"/>
      <c r="F47" s="480"/>
    </row>
    <row r="48" spans="1:6" ht="15.75" x14ac:dyDescent="0.2">
      <c r="A48" s="289"/>
      <c r="B48" s="737" t="s">
        <v>468</v>
      </c>
      <c r="C48" s="380"/>
      <c r="D48" s="375">
        <f>'MBA Schedules'!D45+'MCA Schedules'!D45</f>
        <v>71</v>
      </c>
      <c r="E48" s="381"/>
      <c r="F48" s="480">
        <f>'MBA Schedules'!F45+'MCA Schedules'!F45</f>
        <v>127</v>
      </c>
    </row>
    <row r="49" spans="1:6" ht="15.75" x14ac:dyDescent="0.2">
      <c r="A49" s="289"/>
      <c r="B49" s="737" t="s">
        <v>469</v>
      </c>
      <c r="C49" s="380"/>
      <c r="D49" s="375">
        <f>'MBA Schedules'!D46+'MCA Schedules'!D46</f>
        <v>4099743.98</v>
      </c>
      <c r="E49" s="381"/>
      <c r="F49" s="480">
        <f>'MBA Schedules'!F46+'MCA Schedules'!F46</f>
        <v>17529444.57</v>
      </c>
    </row>
    <row r="50" spans="1:6" ht="16.5" thickBot="1" x14ac:dyDescent="0.25">
      <c r="A50" s="289"/>
      <c r="B50" s="740"/>
      <c r="C50" s="741"/>
      <c r="D50" s="382">
        <f>SUM(D47:D49)</f>
        <v>4099814.98</v>
      </c>
      <c r="E50" s="537"/>
      <c r="F50" s="487">
        <f>SUM(F48:F49)</f>
        <v>17529571.57</v>
      </c>
    </row>
    <row r="51" spans="1:6" ht="15.75" x14ac:dyDescent="0.2">
      <c r="A51" s="289"/>
      <c r="B51" s="380"/>
      <c r="C51" s="380"/>
      <c r="D51" s="393"/>
      <c r="E51" s="381"/>
      <c r="F51" s="393"/>
    </row>
    <row r="52" spans="1:6" ht="15.75" x14ac:dyDescent="0.2">
      <c r="A52" s="289"/>
      <c r="B52" s="380"/>
      <c r="C52" s="380"/>
      <c r="D52" s="393"/>
      <c r="E52" s="381"/>
      <c r="F52" s="393"/>
    </row>
    <row r="53" spans="1:6" ht="15.75" x14ac:dyDescent="0.2">
      <c r="A53" s="289"/>
      <c r="B53" s="380"/>
      <c r="C53" s="380"/>
      <c r="D53" s="393"/>
      <c r="E53" s="381"/>
      <c r="F53" s="393"/>
    </row>
    <row r="54" spans="1:6" ht="15.75" x14ac:dyDescent="0.2">
      <c r="A54" s="749" t="str">
        <f>A1</f>
        <v>GAYATRI VIDYA PARISHAD COLLEGE FOR DEGREE AND P.G. COURSES (AUTONOMOUS)</v>
      </c>
      <c r="B54" s="749"/>
      <c r="C54" s="749"/>
      <c r="D54" s="749"/>
      <c r="E54" s="749"/>
      <c r="F54" s="749"/>
    </row>
    <row r="55" spans="1:6" ht="15.75" x14ac:dyDescent="0.2">
      <c r="A55" s="749" t="str">
        <f>A2</f>
        <v>CONSOLIDATED FOR MBA AND MCA PROGRAMMES</v>
      </c>
      <c r="B55" s="749"/>
      <c r="C55" s="749"/>
      <c r="D55" s="749"/>
      <c r="E55" s="749"/>
      <c r="F55" s="749"/>
    </row>
    <row r="56" spans="1:6" ht="16.5" thickBot="1" x14ac:dyDescent="0.25">
      <c r="A56" s="749" t="str">
        <f>A3</f>
        <v>SCHEDULES</v>
      </c>
      <c r="B56" s="749"/>
      <c r="C56" s="749"/>
      <c r="D56" s="749"/>
      <c r="E56" s="749"/>
      <c r="F56" s="749"/>
    </row>
    <row r="57" spans="1:6" ht="31.5" x14ac:dyDescent="0.2">
      <c r="A57" s="289"/>
      <c r="B57" s="771" t="s">
        <v>422</v>
      </c>
      <c r="C57" s="772"/>
      <c r="D57" s="742" t="str">
        <f>'MBA Schedules'!D68</f>
        <v>For the year Ended</v>
      </c>
      <c r="E57" s="743"/>
      <c r="F57" s="744" t="str">
        <f>D57</f>
        <v>For the year Ended</v>
      </c>
    </row>
    <row r="58" spans="1:6" ht="15.75" x14ac:dyDescent="0.2">
      <c r="A58" s="289"/>
      <c r="B58" s="773"/>
      <c r="C58" s="774"/>
      <c r="D58" s="373" t="str">
        <f>D5</f>
        <v>31.03.2025</v>
      </c>
      <c r="E58" s="422"/>
      <c r="F58" s="476" t="str">
        <f>F5</f>
        <v>31.03.2024</v>
      </c>
    </row>
    <row r="59" spans="1:6" ht="11.25" customHeight="1" x14ac:dyDescent="0.2">
      <c r="A59" s="289"/>
      <c r="B59" s="775"/>
      <c r="C59" s="776"/>
      <c r="D59" s="378" t="s">
        <v>494</v>
      </c>
      <c r="E59" s="378"/>
      <c r="F59" s="610" t="s">
        <v>591</v>
      </c>
    </row>
    <row r="60" spans="1:6" ht="6.75" customHeight="1" x14ac:dyDescent="0.2">
      <c r="A60" s="289"/>
      <c r="B60" s="737"/>
      <c r="C60" s="380"/>
      <c r="D60" s="375"/>
      <c r="E60" s="381"/>
      <c r="F60" s="480"/>
    </row>
    <row r="61" spans="1:6" ht="15.75" x14ac:dyDescent="0.2">
      <c r="A61" s="289"/>
      <c r="B61" s="738" t="s">
        <v>607</v>
      </c>
      <c r="C61" s="380"/>
      <c r="D61" s="375"/>
      <c r="E61" s="381"/>
      <c r="F61" s="480"/>
    </row>
    <row r="62" spans="1:6" ht="15.75" x14ac:dyDescent="0.2">
      <c r="A62" s="289"/>
      <c r="B62" s="737" t="s">
        <v>595</v>
      </c>
      <c r="C62" s="380"/>
      <c r="D62" s="375">
        <f>'MBA Schedules'!D73+'MCA Schedules'!D61</f>
        <v>49797100</v>
      </c>
      <c r="E62" s="421"/>
      <c r="F62" s="480">
        <f>'MBA Schedules'!F73+'MCA Schedules'!F61</f>
        <v>52889795</v>
      </c>
    </row>
    <row r="63" spans="1:6" ht="15.75" x14ac:dyDescent="0.2">
      <c r="A63" s="289"/>
      <c r="B63" s="737" t="s">
        <v>596</v>
      </c>
      <c r="C63" s="380"/>
      <c r="D63" s="375">
        <f>'MCA Schedules'!D62+'MBA Schedules'!D74</f>
        <v>0</v>
      </c>
      <c r="E63" s="421"/>
      <c r="F63" s="480">
        <f>'MCA Schedules'!F62+'MBA Schedules'!F74</f>
        <v>0</v>
      </c>
    </row>
    <row r="64" spans="1:6" ht="15.75" x14ac:dyDescent="0.2">
      <c r="A64" s="289"/>
      <c r="B64" s="737" t="s">
        <v>597</v>
      </c>
      <c r="C64" s="380"/>
      <c r="D64" s="375">
        <f>'MCA Schedules'!D63+'MBA Schedules'!D75</f>
        <v>0</v>
      </c>
      <c r="E64" s="421"/>
      <c r="F64" s="480">
        <f>'MCA Schedules'!F63+'MBA Schedules'!F75</f>
        <v>0</v>
      </c>
    </row>
    <row r="65" spans="1:6" ht="7.5" customHeight="1" x14ac:dyDescent="0.2">
      <c r="A65" s="289"/>
      <c r="B65" s="737"/>
      <c r="C65" s="380"/>
      <c r="D65" s="385"/>
      <c r="E65" s="421"/>
      <c r="F65" s="480"/>
    </row>
    <row r="66" spans="1:6" ht="16.5" thickBot="1" x14ac:dyDescent="0.25">
      <c r="A66" s="289"/>
      <c r="B66" s="737"/>
      <c r="C66" s="380"/>
      <c r="D66" s="534">
        <f>SUM(D62:D64)</f>
        <v>49797100</v>
      </c>
      <c r="E66" s="538"/>
      <c r="F66" s="487">
        <f>SUM(F62:F64)</f>
        <v>52889795</v>
      </c>
    </row>
    <row r="67" spans="1:6" ht="15.75" x14ac:dyDescent="0.2">
      <c r="A67" s="289"/>
      <c r="B67" s="738" t="s">
        <v>571</v>
      </c>
      <c r="C67" s="380"/>
      <c r="D67" s="385"/>
      <c r="E67" s="421"/>
      <c r="F67" s="480"/>
    </row>
    <row r="68" spans="1:6" ht="15.75" x14ac:dyDescent="0.2">
      <c r="A68" s="289"/>
      <c r="B68" s="737" t="s">
        <v>608</v>
      </c>
      <c r="C68" s="380"/>
      <c r="D68" s="375">
        <f>'MBA Schedules'!D79+'MCA Schedules'!D67</f>
        <v>938719</v>
      </c>
      <c r="E68" s="421"/>
      <c r="F68" s="480">
        <f>'MBA Schedules'!F79+'MCA Schedules'!F67</f>
        <v>787536</v>
      </c>
    </row>
    <row r="69" spans="1:6" ht="16.5" thickBot="1" x14ac:dyDescent="0.25">
      <c r="A69" s="289"/>
      <c r="B69" s="737"/>
      <c r="C69" s="380"/>
      <c r="D69" s="534">
        <f>SUM(D68:D68)</f>
        <v>938719</v>
      </c>
      <c r="E69" s="538"/>
      <c r="F69" s="745">
        <f>SUM(F68:F68)</f>
        <v>787536</v>
      </c>
    </row>
    <row r="70" spans="1:6" ht="15.75" x14ac:dyDescent="0.2">
      <c r="A70" s="289"/>
      <c r="B70" s="738" t="s">
        <v>574</v>
      </c>
      <c r="C70" s="380"/>
      <c r="D70" s="385"/>
      <c r="E70" s="421"/>
      <c r="F70" s="480"/>
    </row>
    <row r="71" spans="1:6" ht="15.75" x14ac:dyDescent="0.2">
      <c r="A71" s="289"/>
      <c r="B71" s="737" t="s">
        <v>573</v>
      </c>
      <c r="C71" s="380"/>
      <c r="D71" s="375">
        <f>+'MBA Schedules'!D82+'MCA Schedules'!D70</f>
        <v>4923</v>
      </c>
      <c r="E71" s="375">
        <f>+'MBA Schedules'!E82+'MCA Schedules'!E70</f>
        <v>0</v>
      </c>
      <c r="F71" s="480">
        <f>+'MBA Schedules'!F82+'MCA Schedules'!F70</f>
        <v>98710</v>
      </c>
    </row>
    <row r="72" spans="1:6" ht="15.75" x14ac:dyDescent="0.2">
      <c r="A72" s="289"/>
      <c r="B72" s="737" t="s">
        <v>642</v>
      </c>
      <c r="C72" s="380"/>
      <c r="D72" s="375">
        <f>+'MBA Schedules'!D83</f>
        <v>3954859</v>
      </c>
      <c r="E72" s="375">
        <f>+'MBA Schedules'!E83</f>
        <v>0</v>
      </c>
      <c r="F72" s="480">
        <f>+'MBA Schedules'!F83</f>
        <v>1498794.6</v>
      </c>
    </row>
    <row r="73" spans="1:6" ht="16.5" thickBot="1" x14ac:dyDescent="0.25">
      <c r="A73" s="289"/>
      <c r="B73" s="737"/>
      <c r="C73" s="380"/>
      <c r="D73" s="534">
        <f>SUM(D71:D72)</f>
        <v>3959782</v>
      </c>
      <c r="E73" s="538"/>
      <c r="F73" s="487">
        <f>SUM(F71:F72)</f>
        <v>1597504.6</v>
      </c>
    </row>
    <row r="74" spans="1:6" ht="15.75" x14ac:dyDescent="0.2">
      <c r="A74" s="289"/>
      <c r="B74" s="738" t="s">
        <v>598</v>
      </c>
      <c r="C74" s="380"/>
      <c r="D74" s="375"/>
      <c r="E74" s="381"/>
      <c r="F74" s="480"/>
    </row>
    <row r="75" spans="1:6" ht="15.75" x14ac:dyDescent="0.2">
      <c r="A75" s="289"/>
      <c r="B75" s="737" t="s">
        <v>478</v>
      </c>
      <c r="C75" s="380"/>
      <c r="D75" s="375">
        <f>'MCA Schedules'!D73+'MBA Schedules'!D86</f>
        <v>34902430</v>
      </c>
      <c r="E75" s="381"/>
      <c r="F75" s="480">
        <f>'MCA Schedules'!F73+'MBA Schedules'!F86</f>
        <v>25363601</v>
      </c>
    </row>
    <row r="76" spans="1:6" ht="15.75" x14ac:dyDescent="0.2">
      <c r="A76" s="289"/>
      <c r="B76" s="737" t="s">
        <v>479</v>
      </c>
      <c r="C76" s="380"/>
      <c r="D76" s="375">
        <f>'MCA Schedules'!D74+'MBA Schedules'!D87</f>
        <v>676462</v>
      </c>
      <c r="E76" s="381"/>
      <c r="F76" s="480">
        <f>'MCA Schedules'!F74+'MBA Schedules'!F87</f>
        <v>660656</v>
      </c>
    </row>
    <row r="77" spans="1:6" ht="15.75" x14ac:dyDescent="0.2">
      <c r="A77" s="289"/>
      <c r="B77" s="737" t="s">
        <v>652</v>
      </c>
      <c r="C77" s="380"/>
      <c r="D77" s="375">
        <f>'MCA Schedules'!D75+'MBA Schedules'!D88</f>
        <v>9477106</v>
      </c>
      <c r="E77" s="381"/>
      <c r="F77" s="480">
        <f>'MCA Schedules'!F75+'MBA Schedules'!F88</f>
        <v>0</v>
      </c>
    </row>
    <row r="78" spans="1:6" ht="15.75" x14ac:dyDescent="0.2">
      <c r="A78" s="289"/>
      <c r="B78" s="737" t="s">
        <v>576</v>
      </c>
      <c r="C78" s="380"/>
      <c r="D78" s="375">
        <f>+'MBA Schedules'!D89+'MCA Schedules'!D76</f>
        <v>329000</v>
      </c>
      <c r="E78" s="375">
        <f>+'MBA Schedules'!E89+'MCA Schedules'!E76</f>
        <v>0</v>
      </c>
      <c r="F78" s="480">
        <f>+'MBA Schedules'!F89+'MCA Schedules'!F76</f>
        <v>185000</v>
      </c>
    </row>
    <row r="79" spans="1:6" ht="16.5" thickBot="1" x14ac:dyDescent="0.25">
      <c r="A79" s="289"/>
      <c r="B79" s="737"/>
      <c r="C79" s="380"/>
      <c r="D79" s="382">
        <f>SUM(D75:D78)</f>
        <v>45384998</v>
      </c>
      <c r="E79" s="537"/>
      <c r="F79" s="487">
        <f>SUM(F75:F78)</f>
        <v>26209257</v>
      </c>
    </row>
    <row r="80" spans="1:6" ht="15.75" x14ac:dyDescent="0.2">
      <c r="A80" s="289"/>
      <c r="B80" s="738" t="s">
        <v>609</v>
      </c>
      <c r="C80" s="380"/>
      <c r="D80" s="375"/>
      <c r="E80" s="381"/>
      <c r="F80" s="480"/>
    </row>
    <row r="81" spans="1:6" ht="15.75" x14ac:dyDescent="0.2">
      <c r="A81" s="289"/>
      <c r="B81" s="737" t="s">
        <v>610</v>
      </c>
      <c r="C81" s="380"/>
      <c r="D81" s="375">
        <f>'MCA Schedules'!D79+'MBA Schedules'!D92</f>
        <v>725052</v>
      </c>
      <c r="E81" s="381"/>
      <c r="F81" s="480">
        <f>'MCA Schedules'!F79+'MBA Schedules'!F92</f>
        <v>1079467</v>
      </c>
    </row>
    <row r="82" spans="1:6" ht="15.75" x14ac:dyDescent="0.2">
      <c r="A82" s="289"/>
      <c r="B82" s="737" t="s">
        <v>619</v>
      </c>
      <c r="C82" s="380"/>
      <c r="D82" s="375">
        <f>'MCA Schedules'!D80+'MBA Schedules'!D93</f>
        <v>161494</v>
      </c>
      <c r="E82" s="381"/>
      <c r="F82" s="480">
        <f>'MCA Schedules'!F80+'MBA Schedules'!F93</f>
        <v>357853</v>
      </c>
    </row>
    <row r="83" spans="1:6" ht="15.75" x14ac:dyDescent="0.2">
      <c r="A83" s="289"/>
      <c r="B83" s="737" t="s">
        <v>617</v>
      </c>
      <c r="C83" s="380"/>
      <c r="D83" s="375">
        <f>'MCA Schedules'!D81+'MBA Schedules'!D94</f>
        <v>3453610</v>
      </c>
      <c r="E83" s="381"/>
      <c r="F83" s="480">
        <f>'MCA Schedules'!F81+'MBA Schedules'!F94</f>
        <v>5958230</v>
      </c>
    </row>
    <row r="84" spans="1:6" ht="15.75" x14ac:dyDescent="0.2">
      <c r="A84" s="289"/>
      <c r="B84" s="737" t="s">
        <v>599</v>
      </c>
      <c r="C84" s="380"/>
      <c r="D84" s="375">
        <f>'MCA Schedules'!D82+'MBA Schedules'!D95</f>
        <v>2177192</v>
      </c>
      <c r="E84" s="381"/>
      <c r="F84" s="480">
        <f>'MCA Schedules'!F82+'MBA Schedules'!F95</f>
        <v>2645941</v>
      </c>
    </row>
    <row r="85" spans="1:6" ht="15.75" x14ac:dyDescent="0.2">
      <c r="A85" s="289"/>
      <c r="B85" s="737" t="s">
        <v>484</v>
      </c>
      <c r="C85" s="380"/>
      <c r="D85" s="375">
        <f>+'MBA Schedules'!D96</f>
        <v>125338</v>
      </c>
      <c r="E85" s="375">
        <f>+'MBA Schedules'!E96</f>
        <v>0</v>
      </c>
      <c r="F85" s="480">
        <f>+'MBA Schedules'!F96</f>
        <v>0</v>
      </c>
    </row>
    <row r="86" spans="1:6" ht="15.75" x14ac:dyDescent="0.2">
      <c r="A86" s="289"/>
      <c r="B86" s="737" t="s">
        <v>579</v>
      </c>
      <c r="C86" s="380"/>
      <c r="D86" s="375">
        <f>'MCA Schedules'!D83+'MBA Schedules'!D97</f>
        <v>64702</v>
      </c>
      <c r="E86" s="381"/>
      <c r="F86" s="480">
        <f>'MCA Schedules'!F83+'MBA Schedules'!F97</f>
        <v>54600</v>
      </c>
    </row>
    <row r="87" spans="1:6" ht="15.75" x14ac:dyDescent="0.2">
      <c r="A87" s="289"/>
      <c r="B87" s="737" t="str">
        <f>'MBA Schedules'!B98</f>
        <v>Research and Development Expenses</v>
      </c>
      <c r="C87" s="380"/>
      <c r="D87" s="375">
        <f>'MBA Schedules'!D98+'MCA Schedules'!D84</f>
        <v>3768394</v>
      </c>
      <c r="E87" s="381"/>
      <c r="F87" s="480">
        <f>'MBA Schedules'!F98+'MCA Schedules'!F84</f>
        <v>446183</v>
      </c>
    </row>
    <row r="88" spans="1:6" ht="16.5" thickBot="1" x14ac:dyDescent="0.25">
      <c r="A88" s="289"/>
      <c r="B88" s="737"/>
      <c r="C88" s="380"/>
      <c r="D88" s="382">
        <f>SUM(D81:D87)</f>
        <v>10475782</v>
      </c>
      <c r="E88" s="537"/>
      <c r="F88" s="487">
        <f>SUM(F81:F87)</f>
        <v>10542274</v>
      </c>
    </row>
    <row r="89" spans="1:6" ht="15.75" x14ac:dyDescent="0.2">
      <c r="A89" s="289"/>
      <c r="B89" s="738" t="s">
        <v>580</v>
      </c>
      <c r="C89" s="380"/>
      <c r="D89" s="375"/>
      <c r="E89" s="381"/>
      <c r="F89" s="480"/>
    </row>
    <row r="90" spans="1:6" ht="15.75" x14ac:dyDescent="0.2">
      <c r="A90" s="289"/>
      <c r="B90" s="737" t="s">
        <v>581</v>
      </c>
      <c r="C90" s="380"/>
      <c r="D90" s="375">
        <f>'MCA Schedules'!D87+'MBA Schedules'!D101+'MBA Schedules'!D102+'MCA Schedules'!D88</f>
        <v>2602336</v>
      </c>
      <c r="E90" s="381"/>
      <c r="F90" s="480">
        <f>'MCA Schedules'!F87+'MBA Schedules'!F101</f>
        <v>1981018</v>
      </c>
    </row>
    <row r="91" spans="1:6" ht="15.75" x14ac:dyDescent="0.2">
      <c r="A91" s="289"/>
      <c r="B91" s="737" t="s">
        <v>600</v>
      </c>
      <c r="C91" s="380"/>
      <c r="D91" s="375">
        <f>'MCA Schedules'!D89+'MBA Schedules'!D103</f>
        <v>334728</v>
      </c>
      <c r="E91" s="381"/>
      <c r="F91" s="480">
        <f>'MCA Schedules'!F89+'MBA Schedules'!F103</f>
        <v>494549</v>
      </c>
    </row>
    <row r="92" spans="1:6" ht="15.75" x14ac:dyDescent="0.2">
      <c r="A92" s="289"/>
      <c r="B92" s="737" t="s">
        <v>483</v>
      </c>
      <c r="C92" s="380"/>
      <c r="D92" s="375">
        <f>'MCA Schedules'!D90+'MBA Schedules'!D104</f>
        <v>440478</v>
      </c>
      <c r="E92" s="381"/>
      <c r="F92" s="480">
        <f>'MCA Schedules'!F90+'MBA Schedules'!F104</f>
        <v>540321</v>
      </c>
    </row>
    <row r="93" spans="1:6" ht="15.75" x14ac:dyDescent="0.2">
      <c r="A93" s="289"/>
      <c r="B93" s="737" t="s">
        <v>17</v>
      </c>
      <c r="C93" s="380"/>
      <c r="D93" s="375">
        <f>'MCA Schedules'!D91+'MBA Schedules'!D105</f>
        <v>867613</v>
      </c>
      <c r="E93" s="381"/>
      <c r="F93" s="480">
        <f>'MCA Schedules'!F91+'MBA Schedules'!F105</f>
        <v>1557171</v>
      </c>
    </row>
    <row r="94" spans="1:6" ht="15.75" x14ac:dyDescent="0.2">
      <c r="A94" s="289"/>
      <c r="B94" s="737" t="s">
        <v>583</v>
      </c>
      <c r="C94" s="380"/>
      <c r="D94" s="375">
        <f>'MCA Schedules'!D92+'MBA Schedules'!D106</f>
        <v>383496</v>
      </c>
      <c r="E94" s="381"/>
      <c r="F94" s="480">
        <f>'MCA Schedules'!F92+'MBA Schedules'!F106</f>
        <v>498545</v>
      </c>
    </row>
    <row r="95" spans="1:6" ht="14.25" customHeight="1" x14ac:dyDescent="0.2">
      <c r="A95" s="289"/>
      <c r="B95" s="737" t="s">
        <v>601</v>
      </c>
      <c r="C95" s="380"/>
      <c r="D95" s="375">
        <f>'MCA Schedules'!D93+'MBA Schedules'!D107</f>
        <v>0</v>
      </c>
      <c r="E95" s="381"/>
      <c r="F95" s="480">
        <f>'MCA Schedules'!F93+'MBA Schedules'!F107</f>
        <v>27870</v>
      </c>
    </row>
    <row r="96" spans="1:6" ht="15.75" x14ac:dyDescent="0.2">
      <c r="A96" s="289"/>
      <c r="B96" s="737" t="s">
        <v>584</v>
      </c>
      <c r="C96" s="380"/>
      <c r="D96" s="375">
        <f>'MCA Schedules'!D94+'MBA Schedules'!D108</f>
        <v>55191</v>
      </c>
      <c r="E96" s="381"/>
      <c r="F96" s="480">
        <f>'MCA Schedules'!F94+'MBA Schedules'!F108</f>
        <v>26235</v>
      </c>
    </row>
    <row r="97" spans="1:6" ht="15.75" x14ac:dyDescent="0.2">
      <c r="A97" s="289"/>
      <c r="B97" s="737" t="s">
        <v>19</v>
      </c>
      <c r="C97" s="380"/>
      <c r="D97" s="375">
        <f>'MCA Schedules'!D95+'MBA Schedules'!D109</f>
        <v>15765</v>
      </c>
      <c r="E97" s="381"/>
      <c r="F97" s="480">
        <f>'MCA Schedules'!F95+'MBA Schedules'!F109</f>
        <v>28903</v>
      </c>
    </row>
    <row r="98" spans="1:6" ht="15.75" x14ac:dyDescent="0.2">
      <c r="A98" s="289"/>
      <c r="B98" s="737" t="s">
        <v>20</v>
      </c>
      <c r="C98" s="380"/>
      <c r="D98" s="375">
        <f>'MCA Schedules'!D96+'MBA Schedules'!D110</f>
        <v>171100</v>
      </c>
      <c r="E98" s="381"/>
      <c r="F98" s="480">
        <f>'MCA Schedules'!F96+'MBA Schedules'!F110</f>
        <v>171100</v>
      </c>
    </row>
    <row r="99" spans="1:6" ht="15.75" x14ac:dyDescent="0.2">
      <c r="A99" s="289"/>
      <c r="B99" s="737" t="s">
        <v>585</v>
      </c>
      <c r="C99" s="380"/>
      <c r="D99" s="375">
        <f>'MCA Schedules'!D97+'MBA Schedules'!D111</f>
        <v>250968</v>
      </c>
      <c r="E99" s="381"/>
      <c r="F99" s="480">
        <f>'MCA Schedules'!F97+'MBA Schedules'!F111</f>
        <v>175895</v>
      </c>
    </row>
    <row r="100" spans="1:6" ht="15.75" x14ac:dyDescent="0.2">
      <c r="A100" s="289"/>
      <c r="B100" s="737" t="s">
        <v>611</v>
      </c>
      <c r="C100" s="380"/>
      <c r="D100" s="375">
        <f>'MBA Schedules'!D112+'MCA Schedules'!D98</f>
        <v>60000</v>
      </c>
      <c r="E100" s="381"/>
      <c r="F100" s="480">
        <f>'MCA Schedules'!F98+'MBA Schedules'!F112</f>
        <v>0</v>
      </c>
    </row>
    <row r="101" spans="1:6" ht="15.75" x14ac:dyDescent="0.2">
      <c r="A101" s="289"/>
      <c r="B101" s="737" t="s">
        <v>480</v>
      </c>
      <c r="C101" s="380"/>
      <c r="D101" s="375">
        <f>+'MBA Schedules'!D113+'MCA Schedules'!D99</f>
        <v>508095</v>
      </c>
      <c r="E101" s="375">
        <f>+'MBA Schedules'!E113+'MCA Schedules'!E99</f>
        <v>0</v>
      </c>
      <c r="F101" s="480">
        <f>+'MBA Schedules'!F113+'MCA Schedules'!F99</f>
        <v>66841</v>
      </c>
    </row>
    <row r="102" spans="1:6" ht="15.75" x14ac:dyDescent="0.2">
      <c r="A102" s="289"/>
      <c r="B102" s="737" t="s">
        <v>23</v>
      </c>
      <c r="C102" s="380"/>
      <c r="D102" s="375">
        <f>'MCA Schedules'!D100+'MBA Schedules'!D114</f>
        <v>73059</v>
      </c>
      <c r="E102" s="381"/>
      <c r="F102" s="480">
        <f>'MCA Schedules'!F100+'MBA Schedules'!F114</f>
        <v>78148</v>
      </c>
    </row>
    <row r="103" spans="1:6" ht="16.5" thickBot="1" x14ac:dyDescent="0.25">
      <c r="A103" s="289"/>
      <c r="B103" s="740"/>
      <c r="C103" s="741"/>
      <c r="D103" s="382">
        <f>SUM(D90:D102)</f>
        <v>5762829</v>
      </c>
      <c r="E103" s="537" t="s">
        <v>0</v>
      </c>
      <c r="F103" s="487">
        <f>SUM(F90:F102)</f>
        <v>5646596</v>
      </c>
    </row>
    <row r="104" spans="1:6" ht="15.75" x14ac:dyDescent="0.2">
      <c r="A104" s="289"/>
      <c r="B104" s="380"/>
      <c r="C104" s="380"/>
      <c r="D104" s="393"/>
      <c r="E104" s="381"/>
      <c r="F104" s="393"/>
    </row>
    <row r="105" spans="1:6" ht="15.75" x14ac:dyDescent="0.2">
      <c r="A105" s="289"/>
      <c r="B105" s="380"/>
      <c r="C105" s="380"/>
      <c r="D105" s="393"/>
      <c r="E105" s="381"/>
      <c r="F105" s="393"/>
    </row>
    <row r="106" spans="1:6" ht="15.75" x14ac:dyDescent="0.2">
      <c r="A106" s="289"/>
      <c r="B106" s="380"/>
      <c r="C106" s="380"/>
      <c r="D106" s="393"/>
      <c r="E106" s="381"/>
      <c r="F106" s="393"/>
    </row>
    <row r="107" spans="1:6" ht="15.75" x14ac:dyDescent="0.2">
      <c r="A107" s="749" t="str">
        <f>A54</f>
        <v>GAYATRI VIDYA PARISHAD COLLEGE FOR DEGREE AND P.G. COURSES (AUTONOMOUS)</v>
      </c>
      <c r="B107" s="749"/>
      <c r="C107" s="749"/>
      <c r="D107" s="749"/>
      <c r="E107" s="749"/>
      <c r="F107" s="749"/>
    </row>
    <row r="108" spans="1:6" ht="15.75" x14ac:dyDescent="0.2">
      <c r="A108" s="749" t="str">
        <f>A55</f>
        <v>CONSOLIDATED FOR MBA AND MCA PROGRAMMES</v>
      </c>
      <c r="B108" s="749"/>
      <c r="C108" s="749"/>
      <c r="D108" s="749"/>
      <c r="E108" s="749"/>
      <c r="F108" s="749"/>
    </row>
    <row r="109" spans="1:6" ht="16.5" thickBot="1" x14ac:dyDescent="0.25">
      <c r="A109" s="749" t="str">
        <f>A56</f>
        <v>SCHEDULES</v>
      </c>
      <c r="B109" s="749"/>
      <c r="C109" s="749"/>
      <c r="D109" s="749"/>
      <c r="E109" s="749"/>
      <c r="F109" s="749"/>
    </row>
    <row r="110" spans="1:6" ht="31.5" x14ac:dyDescent="0.2">
      <c r="A110" s="289"/>
      <c r="B110" s="771" t="s">
        <v>422</v>
      </c>
      <c r="C110" s="772"/>
      <c r="D110" s="742" t="str">
        <f>D57</f>
        <v>For the year Ended</v>
      </c>
      <c r="E110" s="743"/>
      <c r="F110" s="744" t="str">
        <f>D110</f>
        <v>For the year Ended</v>
      </c>
    </row>
    <row r="111" spans="1:6" ht="15.75" x14ac:dyDescent="0.2">
      <c r="A111" s="289"/>
      <c r="B111" s="773"/>
      <c r="C111" s="774"/>
      <c r="D111" s="373" t="str">
        <f>D58</f>
        <v>31.03.2025</v>
      </c>
      <c r="E111" s="422"/>
      <c r="F111" s="476" t="str">
        <f>F58</f>
        <v>31.03.2024</v>
      </c>
    </row>
    <row r="112" spans="1:6" ht="11.25" customHeight="1" x14ac:dyDescent="0.2">
      <c r="A112" s="289"/>
      <c r="B112" s="775"/>
      <c r="C112" s="776"/>
      <c r="D112" s="378" t="s">
        <v>494</v>
      </c>
      <c r="E112" s="378"/>
      <c r="F112" s="610" t="s">
        <v>591</v>
      </c>
    </row>
    <row r="113" spans="1:6" ht="6.75" customHeight="1" x14ac:dyDescent="0.2">
      <c r="A113" s="289"/>
      <c r="B113" s="737"/>
      <c r="C113" s="380"/>
      <c r="D113" s="375"/>
      <c r="E113" s="381"/>
      <c r="F113" s="480"/>
    </row>
    <row r="114" spans="1:6" ht="15.75" x14ac:dyDescent="0.2">
      <c r="A114" s="289"/>
      <c r="B114" s="738" t="s">
        <v>587</v>
      </c>
      <c r="C114" s="380"/>
      <c r="D114" s="375"/>
      <c r="E114" s="381"/>
      <c r="F114" s="480"/>
    </row>
    <row r="115" spans="1:6" ht="15.75" x14ac:dyDescent="0.2">
      <c r="A115" s="289"/>
      <c r="B115" s="737" t="s">
        <v>24</v>
      </c>
      <c r="C115" s="380"/>
      <c r="D115" s="375">
        <f>'MCA Schedules'!D113+'MBA Schedules'!D119</f>
        <v>3656.59</v>
      </c>
      <c r="E115" s="381"/>
      <c r="F115" s="480">
        <f>'MCA Schedules'!F113+'MBA Schedules'!F119</f>
        <v>5076.83</v>
      </c>
    </row>
    <row r="116" spans="1:6" ht="16.5" thickBot="1" x14ac:dyDescent="0.25">
      <c r="A116" s="289"/>
      <c r="B116" s="737"/>
      <c r="C116" s="380"/>
      <c r="D116" s="382">
        <f>SUM(D115:D115)</f>
        <v>3656.59</v>
      </c>
      <c r="E116" s="537"/>
      <c r="F116" s="487">
        <f>SUM(F115:F115)</f>
        <v>5076.83</v>
      </c>
    </row>
    <row r="117" spans="1:6" ht="15.75" x14ac:dyDescent="0.2">
      <c r="A117" s="289"/>
      <c r="B117" s="738" t="s">
        <v>588</v>
      </c>
      <c r="C117" s="380"/>
      <c r="D117" s="375"/>
      <c r="E117" s="381"/>
      <c r="F117" s="480"/>
    </row>
    <row r="118" spans="1:6" ht="15.75" x14ac:dyDescent="0.2">
      <c r="A118" s="289"/>
      <c r="B118" s="737" t="s">
        <v>481</v>
      </c>
      <c r="C118" s="380"/>
      <c r="D118" s="375">
        <f>'MCA Schedules'!D117+'MBA Schedules'!D123</f>
        <v>0</v>
      </c>
      <c r="E118" s="381"/>
      <c r="F118" s="480">
        <f>'MCA Schedules'!F117+'MBA Schedules'!F123</f>
        <v>0</v>
      </c>
    </row>
    <row r="119" spans="1:6" ht="16.5" thickBot="1" x14ac:dyDescent="0.25">
      <c r="A119" s="289"/>
      <c r="B119" s="737"/>
      <c r="C119" s="380"/>
      <c r="D119" s="382">
        <f>SUM(D118:D118)</f>
        <v>0</v>
      </c>
      <c r="E119" s="532"/>
      <c r="F119" s="487">
        <f>SUM(F118:F118)</f>
        <v>0</v>
      </c>
    </row>
    <row r="120" spans="1:6" ht="15.75" x14ac:dyDescent="0.2">
      <c r="A120" s="289"/>
      <c r="B120" s="738" t="s">
        <v>653</v>
      </c>
      <c r="C120" s="380"/>
      <c r="D120" s="375"/>
      <c r="E120" s="381"/>
      <c r="F120" s="480"/>
    </row>
    <row r="121" spans="1:6" ht="15.75" x14ac:dyDescent="0.2">
      <c r="A121" s="289"/>
      <c r="B121" s="737" t="s">
        <v>10</v>
      </c>
      <c r="C121" s="380"/>
      <c r="D121" s="375">
        <f>'MBA Schedules'!D126+'MCA Schedules'!D120</f>
        <v>3747439</v>
      </c>
      <c r="E121" s="381"/>
      <c r="F121" s="480">
        <f>'MBA Schedules'!F126+'MCA Schedules'!F120</f>
        <v>4501986</v>
      </c>
    </row>
    <row r="122" spans="1:6" ht="15.75" x14ac:dyDescent="0.2">
      <c r="A122" s="289"/>
      <c r="B122" s="737"/>
      <c r="C122" s="380"/>
      <c r="D122" s="375"/>
      <c r="E122" s="381"/>
      <c r="F122" s="480"/>
    </row>
    <row r="123" spans="1:6" ht="16.5" thickBot="1" x14ac:dyDescent="0.25">
      <c r="A123" s="289"/>
      <c r="B123" s="740"/>
      <c r="C123" s="746"/>
      <c r="D123" s="382">
        <f>SUM(D121:D122)</f>
        <v>3747439</v>
      </c>
      <c r="E123" s="532"/>
      <c r="F123" s="487">
        <f>SUM(F121:F122)</f>
        <v>4501986</v>
      </c>
    </row>
  </sheetData>
  <mergeCells count="12">
    <mergeCell ref="B110:C112"/>
    <mergeCell ref="A108:F108"/>
    <mergeCell ref="A109:F109"/>
    <mergeCell ref="B4:C6"/>
    <mergeCell ref="B57:C59"/>
    <mergeCell ref="A1:F1"/>
    <mergeCell ref="A54:F54"/>
    <mergeCell ref="A55:F55"/>
    <mergeCell ref="A56:F56"/>
    <mergeCell ref="A107:F107"/>
    <mergeCell ref="A2:F2"/>
    <mergeCell ref="A3:F3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36"/>
  <sheetViews>
    <sheetView zoomScale="70" zoomScaleNormal="70" workbookViewId="0">
      <selection activeCell="A50" sqref="A50"/>
    </sheetView>
  </sheetViews>
  <sheetFormatPr defaultColWidth="9.140625" defaultRowHeight="18" x14ac:dyDescent="0.25"/>
  <cols>
    <col min="1" max="1" width="9.140625" style="209" customWidth="1"/>
    <col min="2" max="2" width="51.28515625" style="206" customWidth="1"/>
    <col min="3" max="3" width="25.140625" style="206" customWidth="1"/>
    <col min="4" max="4" width="23.85546875" style="206" bestFit="1" customWidth="1"/>
    <col min="5" max="5" width="26.140625" style="206" customWidth="1"/>
    <col min="6" max="6" width="24.28515625" style="206" customWidth="1"/>
    <col min="7" max="7" width="1.42578125" style="206" customWidth="1"/>
    <col min="8" max="8" width="8" style="208" bestFit="1" customWidth="1"/>
    <col min="9" max="9" width="1.42578125" style="206" customWidth="1"/>
    <col min="10" max="10" width="27" style="206" customWidth="1"/>
    <col min="11" max="11" width="23.85546875" style="207" bestFit="1" customWidth="1"/>
    <col min="12" max="12" width="23.85546875" style="206" customWidth="1"/>
    <col min="13" max="13" width="1.7109375" style="206" customWidth="1"/>
    <col min="14" max="14" width="26.28515625" style="206" bestFit="1" customWidth="1"/>
    <col min="15" max="15" width="24.5703125" style="206" bestFit="1" customWidth="1"/>
    <col min="16" max="16384" width="9.140625" style="206"/>
  </cols>
  <sheetData>
    <row r="1" spans="1:15" x14ac:dyDescent="0.25">
      <c r="A1" s="778" t="s">
        <v>625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  <c r="O1" s="778"/>
    </row>
    <row r="2" spans="1:15" x14ac:dyDescent="0.25">
      <c r="A2" s="778" t="str">
        <f>'COMB - PL'!A2:E2</f>
        <v>CONSOLIDATED FOR MBA AND MCA PROGRAMMES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</row>
    <row r="3" spans="1:15" x14ac:dyDescent="0.25">
      <c r="A3" s="778" t="s">
        <v>673</v>
      </c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</row>
    <row r="4" spans="1:15" ht="18.75" thickBot="1" x14ac:dyDescent="0.3">
      <c r="A4" s="779"/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</row>
    <row r="5" spans="1:15" s="593" customFormat="1" ht="18.75" x14ac:dyDescent="0.25">
      <c r="A5" s="767" t="s">
        <v>493</v>
      </c>
      <c r="B5" s="780" t="s">
        <v>422</v>
      </c>
      <c r="C5" s="783" t="s">
        <v>27</v>
      </c>
      <c r="D5" s="783"/>
      <c r="E5" s="783"/>
      <c r="F5" s="783"/>
      <c r="G5" s="665"/>
      <c r="H5" s="301" t="s">
        <v>76</v>
      </c>
      <c r="I5" s="592"/>
      <c r="J5" s="783" t="s">
        <v>28</v>
      </c>
      <c r="K5" s="783"/>
      <c r="L5" s="783"/>
      <c r="M5" s="592"/>
      <c r="N5" s="783" t="s">
        <v>29</v>
      </c>
      <c r="O5" s="783"/>
    </row>
    <row r="6" spans="1:15" s="593" customFormat="1" ht="18.75" x14ac:dyDescent="0.25">
      <c r="A6" s="768"/>
      <c r="B6" s="781"/>
      <c r="C6" s="598">
        <v>1</v>
      </c>
      <c r="D6" s="599">
        <v>2</v>
      </c>
      <c r="E6" s="599"/>
      <c r="F6" s="599">
        <v>3</v>
      </c>
      <c r="G6" s="599"/>
      <c r="H6" s="543"/>
      <c r="I6" s="594"/>
      <c r="J6" s="594">
        <v>4</v>
      </c>
      <c r="K6" s="595">
        <v>5</v>
      </c>
      <c r="L6" s="594">
        <v>6</v>
      </c>
      <c r="M6" s="594"/>
      <c r="N6" s="594">
        <v>7</v>
      </c>
      <c r="O6" s="594">
        <v>8</v>
      </c>
    </row>
    <row r="7" spans="1:15" s="593" customFormat="1" ht="18.75" x14ac:dyDescent="0.25">
      <c r="A7" s="769"/>
      <c r="B7" s="782"/>
      <c r="C7" s="647" t="s">
        <v>674</v>
      </c>
      <c r="D7" s="240" t="s">
        <v>492</v>
      </c>
      <c r="E7" s="240" t="s">
        <v>240</v>
      </c>
      <c r="F7" s="647" t="s">
        <v>675</v>
      </c>
      <c r="G7" s="673"/>
      <c r="H7" s="305" t="s">
        <v>119</v>
      </c>
      <c r="I7" s="240"/>
      <c r="J7" s="596" t="str">
        <f>C7</f>
        <v>AS ON 01.04.2024</v>
      </c>
      <c r="K7" s="597" t="s">
        <v>491</v>
      </c>
      <c r="L7" s="596" t="str">
        <f>F7</f>
        <v>AS ON 31.3.2025</v>
      </c>
      <c r="M7" s="240"/>
      <c r="N7" s="596" t="str">
        <f>C7</f>
        <v>AS ON 01.04.2024</v>
      </c>
      <c r="O7" s="596" t="str">
        <f>F7</f>
        <v>AS ON 31.3.2025</v>
      </c>
    </row>
    <row r="8" spans="1:15" s="349" customFormat="1" ht="60" customHeight="1" x14ac:dyDescent="0.25">
      <c r="A8" s="246">
        <v>1</v>
      </c>
      <c r="B8" s="675" t="s">
        <v>38</v>
      </c>
      <c r="C8" s="598">
        <f>+'MBA DEPRE 2024-25'!C8+'MCA DEPRE 2024-25'!C8</f>
        <v>67731837</v>
      </c>
      <c r="D8" s="598">
        <f>+'MBA DEPRE 2024-25'!D8+'MCA DEPRE 2024-25'!D8</f>
        <v>417270</v>
      </c>
      <c r="E8" s="598">
        <f>+'MBA DEPRE 2024-25'!E8+'MCA DEPRE 2024-25'!E8</f>
        <v>0</v>
      </c>
      <c r="F8" s="598">
        <f>+C8+D8-E8</f>
        <v>68149107</v>
      </c>
      <c r="G8" s="598"/>
      <c r="H8" s="305" t="s">
        <v>490</v>
      </c>
      <c r="I8" s="240"/>
      <c r="J8" s="598">
        <f>+'MBA DEPRE 2024-25'!J8+'MCA DEPRE 2024-25'!J8</f>
        <v>55158084</v>
      </c>
      <c r="K8" s="598">
        <f>+'MBA DEPRE 2024-25'!K8+'MCA DEPRE 2024-25'!K8</f>
        <v>1283899</v>
      </c>
      <c r="L8" s="598">
        <f>+J8+K8</f>
        <v>56441983</v>
      </c>
      <c r="M8" s="599"/>
      <c r="N8" s="598">
        <f>+C8-J8</f>
        <v>12573753</v>
      </c>
      <c r="O8" s="598">
        <f>+F8-L8</f>
        <v>11707124</v>
      </c>
    </row>
    <row r="9" spans="1:15" s="349" customFormat="1" ht="60" customHeight="1" x14ac:dyDescent="0.25">
      <c r="A9" s="246">
        <v>2</v>
      </c>
      <c r="B9" s="676" t="s">
        <v>676</v>
      </c>
      <c r="C9" s="598">
        <f>+'MBA DEPRE 2024-25'!C9+'MCA DEPRE 2024-25'!C9</f>
        <v>6396722</v>
      </c>
      <c r="D9" s="598">
        <f>+'MBA DEPRE 2024-25'!D9+'MCA DEPRE 2024-25'!D9</f>
        <v>533064</v>
      </c>
      <c r="E9" s="598">
        <f>+'MBA DEPRE 2024-25'!E9+'MCA DEPRE 2024-25'!E9</f>
        <v>0</v>
      </c>
      <c r="F9" s="598">
        <f t="shared" ref="F9:F14" si="0">+C9+D9-E9</f>
        <v>6929786</v>
      </c>
      <c r="G9" s="598"/>
      <c r="H9" s="305" t="s">
        <v>490</v>
      </c>
      <c r="I9" s="240"/>
      <c r="J9" s="598">
        <f>+'MBA DEPRE 2024-25'!J9+'MCA DEPRE 2024-25'!J9</f>
        <v>4300859</v>
      </c>
      <c r="K9" s="598">
        <f>+'MBA DEPRE 2024-25'!K9+'MCA DEPRE 2024-25'!K9</f>
        <v>236240</v>
      </c>
      <c r="L9" s="598">
        <f t="shared" ref="L9:L14" si="1">+J9+K9</f>
        <v>4537099</v>
      </c>
      <c r="M9" s="599"/>
      <c r="N9" s="598">
        <f t="shared" ref="N9:N14" si="2">+C9-J9</f>
        <v>2095863</v>
      </c>
      <c r="O9" s="598">
        <f t="shared" ref="O9:O14" si="3">+F9-L9</f>
        <v>2392687</v>
      </c>
    </row>
    <row r="10" spans="1:15" s="349" customFormat="1" ht="60" customHeight="1" x14ac:dyDescent="0.25">
      <c r="A10" s="246">
        <v>3</v>
      </c>
      <c r="B10" s="676" t="s">
        <v>677</v>
      </c>
      <c r="C10" s="598">
        <f>+'MBA DEPRE 2024-25'!C10+'MCA DEPRE 2024-25'!C10</f>
        <v>28420797.890000001</v>
      </c>
      <c r="D10" s="598">
        <f>+'MBA DEPRE 2024-25'!D10+'MCA DEPRE 2024-25'!D10</f>
        <v>298616</v>
      </c>
      <c r="E10" s="598">
        <f>+'MBA DEPRE 2024-25'!E10+'MCA DEPRE 2024-25'!E10</f>
        <v>0</v>
      </c>
      <c r="F10" s="598">
        <f t="shared" si="0"/>
        <v>28719413.890000001</v>
      </c>
      <c r="G10" s="598"/>
      <c r="H10" s="305" t="s">
        <v>489</v>
      </c>
      <c r="I10" s="240"/>
      <c r="J10" s="598">
        <f>+'MBA DEPRE 2024-25'!J10+'MCA DEPRE 2024-25'!J10</f>
        <v>19336902</v>
      </c>
      <c r="K10" s="598">
        <f>+'MBA DEPRE 2024-25'!K10+'MCA DEPRE 2024-25'!K10</f>
        <v>1384984</v>
      </c>
      <c r="L10" s="598">
        <f t="shared" si="1"/>
        <v>20721886</v>
      </c>
      <c r="M10" s="599"/>
      <c r="N10" s="598">
        <f t="shared" si="2"/>
        <v>9083895.8900000006</v>
      </c>
      <c r="O10" s="598">
        <f t="shared" si="3"/>
        <v>7997527.8900000006</v>
      </c>
    </row>
    <row r="11" spans="1:15" s="349" customFormat="1" ht="60" customHeight="1" x14ac:dyDescent="0.25">
      <c r="A11" s="246">
        <v>4</v>
      </c>
      <c r="B11" s="677" t="s">
        <v>678</v>
      </c>
      <c r="C11" s="598">
        <f>+'MBA DEPRE 2024-25'!C11+'MCA DEPRE 2024-25'!C11</f>
        <v>501900</v>
      </c>
      <c r="D11" s="598">
        <f>+'MBA DEPRE 2024-25'!D11+'MCA DEPRE 2024-25'!D11</f>
        <v>239559</v>
      </c>
      <c r="E11" s="598">
        <f>+'MBA DEPRE 2024-25'!E11+'MCA DEPRE 2024-25'!E11</f>
        <v>0</v>
      </c>
      <c r="F11" s="598">
        <f t="shared" si="0"/>
        <v>741459</v>
      </c>
      <c r="G11" s="598"/>
      <c r="H11" s="305" t="s">
        <v>489</v>
      </c>
      <c r="I11" s="247"/>
      <c r="J11" s="598">
        <f>+'MBA DEPRE 2024-25'!J11+'MCA DEPRE 2024-25'!J11</f>
        <v>496358</v>
      </c>
      <c r="K11" s="598">
        <f>+'MBA DEPRE 2024-25'!K11+'MCA DEPRE 2024-25'!K11</f>
        <v>36765</v>
      </c>
      <c r="L11" s="598">
        <f t="shared" si="1"/>
        <v>533123</v>
      </c>
      <c r="M11" s="599"/>
      <c r="N11" s="598">
        <f t="shared" si="2"/>
        <v>5542</v>
      </c>
      <c r="O11" s="598">
        <f t="shared" si="3"/>
        <v>208336</v>
      </c>
    </row>
    <row r="12" spans="1:15" s="666" customFormat="1" ht="60" customHeight="1" x14ac:dyDescent="0.25">
      <c r="A12" s="674">
        <v>5</v>
      </c>
      <c r="B12" s="677" t="s">
        <v>679</v>
      </c>
      <c r="C12" s="598">
        <f>+'MBA DEPRE 2024-25'!C12+'MCA DEPRE 2024-25'!C12</f>
        <v>24449487</v>
      </c>
      <c r="D12" s="598">
        <f>+'MBA DEPRE 2024-25'!D12+'MCA DEPRE 2024-25'!D12</f>
        <v>225260</v>
      </c>
      <c r="E12" s="598">
        <f>+'MBA DEPRE 2024-25'!E12+'MCA DEPRE 2024-25'!E12</f>
        <v>0</v>
      </c>
      <c r="F12" s="598">
        <f t="shared" si="0"/>
        <v>24674747</v>
      </c>
      <c r="G12" s="598"/>
      <c r="H12" s="305" t="s">
        <v>634</v>
      </c>
      <c r="I12" s="247"/>
      <c r="J12" s="598">
        <f>+'MBA DEPRE 2024-25'!J12+'MCA DEPRE 2024-25'!J12</f>
        <v>22995948</v>
      </c>
      <c r="K12" s="598">
        <f>+'MBA DEPRE 2024-25'!K12+'MCA DEPRE 2024-25'!K12</f>
        <v>626165</v>
      </c>
      <c r="L12" s="598">
        <f t="shared" si="1"/>
        <v>23622113</v>
      </c>
      <c r="M12" s="599"/>
      <c r="N12" s="598">
        <f t="shared" si="2"/>
        <v>1453539</v>
      </c>
      <c r="O12" s="598">
        <f t="shared" si="3"/>
        <v>1052634</v>
      </c>
    </row>
    <row r="13" spans="1:15" s="349" customFormat="1" ht="60" customHeight="1" x14ac:dyDescent="0.25">
      <c r="A13" s="246">
        <v>6</v>
      </c>
      <c r="B13" s="678" t="s">
        <v>680</v>
      </c>
      <c r="C13" s="598">
        <f>+'MBA DEPRE 2024-25'!C13+'MCA DEPRE 2024-25'!C13</f>
        <v>7440516</v>
      </c>
      <c r="D13" s="598">
        <f>+'MBA DEPRE 2024-25'!D13+'MCA DEPRE 2024-25'!D13</f>
        <v>0</v>
      </c>
      <c r="E13" s="598">
        <f>+'MBA DEPRE 2024-25'!E13+'MCA DEPRE 2024-25'!E13</f>
        <v>0</v>
      </c>
      <c r="F13" s="598">
        <f t="shared" si="0"/>
        <v>7440516</v>
      </c>
      <c r="G13" s="598"/>
      <c r="H13" s="305" t="s">
        <v>634</v>
      </c>
      <c r="I13" s="267"/>
      <c r="J13" s="598">
        <f>+'MBA DEPRE 2024-25'!J13+'MCA DEPRE 2024-25'!J13</f>
        <v>6992049</v>
      </c>
      <c r="K13" s="598">
        <f>+'MBA DEPRE 2024-25'!K13+'MCA DEPRE 2024-25'!K13</f>
        <v>179386</v>
      </c>
      <c r="L13" s="598">
        <f t="shared" si="1"/>
        <v>7171435</v>
      </c>
      <c r="M13" s="598"/>
      <c r="N13" s="598">
        <f t="shared" si="2"/>
        <v>448467</v>
      </c>
      <c r="O13" s="598">
        <f t="shared" si="3"/>
        <v>269081</v>
      </c>
    </row>
    <row r="14" spans="1:15" s="349" customFormat="1" ht="50.1" customHeight="1" x14ac:dyDescent="0.25">
      <c r="A14" s="246"/>
      <c r="B14" s="240" t="s">
        <v>488</v>
      </c>
      <c r="C14" s="598">
        <f>+'MBA DEPRE 2024-25'!C14+'MCA DEPRE 2024-25'!C14</f>
        <v>134941259.88999999</v>
      </c>
      <c r="D14" s="598">
        <f>+'MBA DEPRE 2024-25'!D14+'MCA DEPRE 2024-25'!D14</f>
        <v>1713769</v>
      </c>
      <c r="E14" s="598">
        <f>+'MBA DEPRE 2024-25'!E14+'MCA DEPRE 2024-25'!E14</f>
        <v>0</v>
      </c>
      <c r="F14" s="598">
        <f t="shared" si="0"/>
        <v>136655028.88999999</v>
      </c>
      <c r="G14" s="598"/>
      <c r="H14" s="305"/>
      <c r="I14" s="267"/>
      <c r="J14" s="598">
        <f>+'MBA DEPRE 2024-25'!J14+'MCA DEPRE 2024-25'!J14</f>
        <v>109280200</v>
      </c>
      <c r="K14" s="598">
        <f>+'MBA DEPRE 2024-25'!K14+'MCA DEPRE 2024-25'!K14</f>
        <v>3747439</v>
      </c>
      <c r="L14" s="598">
        <f t="shared" si="1"/>
        <v>113027639</v>
      </c>
      <c r="M14" s="598"/>
      <c r="N14" s="598">
        <f t="shared" si="2"/>
        <v>25661059.889999986</v>
      </c>
      <c r="O14" s="598">
        <f t="shared" si="3"/>
        <v>23627389.889999986</v>
      </c>
    </row>
    <row r="15" spans="1:15" s="349" customFormat="1" ht="15.75" x14ac:dyDescent="0.25">
      <c r="A15" s="600"/>
      <c r="B15" s="601"/>
      <c r="C15" s="601"/>
      <c r="D15" s="601"/>
      <c r="E15" s="601"/>
      <c r="F15" s="601"/>
      <c r="G15" s="601"/>
      <c r="H15" s="604"/>
      <c r="I15" s="601"/>
      <c r="J15" s="601"/>
      <c r="K15" s="601"/>
      <c r="L15" s="601"/>
      <c r="M15" s="601"/>
      <c r="N15" s="601"/>
      <c r="O15" s="601"/>
    </row>
    <row r="16" spans="1:15" s="310" customFormat="1" ht="18.75" x14ac:dyDescent="0.2">
      <c r="A16" s="661"/>
      <c r="B16" s="320"/>
      <c r="C16" s="320"/>
      <c r="D16" s="320"/>
      <c r="E16" s="320"/>
      <c r="F16" s="320"/>
      <c r="G16" s="320"/>
      <c r="H16" s="604"/>
      <c r="I16" s="320"/>
      <c r="J16" s="320"/>
      <c r="K16" s="320"/>
      <c r="L16" s="320"/>
      <c r="M16" s="320"/>
      <c r="N16" s="320"/>
      <c r="O16" s="320"/>
    </row>
    <row r="17" spans="1:15" s="310" customFormat="1" x14ac:dyDescent="0.2">
      <c r="A17" s="662"/>
      <c r="B17" s="601"/>
      <c r="C17" s="602"/>
      <c r="D17" s="602"/>
      <c r="E17" s="603"/>
      <c r="F17" s="602"/>
      <c r="G17" s="602"/>
      <c r="H17" s="604"/>
      <c r="I17" s="601"/>
      <c r="J17" s="602"/>
      <c r="K17" s="602"/>
      <c r="L17" s="784" t="s">
        <v>620</v>
      </c>
      <c r="M17" s="784"/>
      <c r="N17" s="784"/>
      <c r="O17" s="784"/>
    </row>
    <row r="18" spans="1:15" s="310" customFormat="1" x14ac:dyDescent="0.2">
      <c r="A18" s="662"/>
      <c r="B18" s="601"/>
      <c r="C18" s="601"/>
      <c r="D18" s="603"/>
      <c r="E18" s="603"/>
      <c r="F18" s="603"/>
      <c r="G18" s="603"/>
      <c r="H18" s="604"/>
      <c r="I18" s="601"/>
      <c r="J18" s="605"/>
      <c r="K18" s="603"/>
      <c r="L18" s="784" t="s">
        <v>681</v>
      </c>
      <c r="M18" s="784"/>
      <c r="N18" s="784"/>
      <c r="O18" s="784"/>
    </row>
    <row r="19" spans="1:15" s="310" customFormat="1" x14ac:dyDescent="0.2">
      <c r="A19" s="662"/>
      <c r="B19" s="601"/>
      <c r="C19" s="601"/>
      <c r="D19" s="603"/>
      <c r="E19" s="603"/>
      <c r="F19" s="603"/>
      <c r="G19" s="603"/>
      <c r="H19" s="604"/>
      <c r="I19" s="601"/>
      <c r="J19" s="605"/>
      <c r="K19" s="603"/>
      <c r="L19" s="784" t="s">
        <v>416</v>
      </c>
      <c r="M19" s="784"/>
      <c r="N19" s="784"/>
      <c r="O19" s="784"/>
    </row>
    <row r="20" spans="1:15" s="310" customFormat="1" x14ac:dyDescent="0.25">
      <c r="A20" s="662"/>
      <c r="B20" s="670" t="s">
        <v>682</v>
      </c>
      <c r="C20" s="784" t="s">
        <v>683</v>
      </c>
      <c r="D20" s="784"/>
      <c r="E20" s="666"/>
      <c r="F20" s="601"/>
      <c r="G20" s="601"/>
      <c r="H20" s="604"/>
      <c r="I20" s="601"/>
      <c r="J20" s="605"/>
      <c r="K20" s="603"/>
      <c r="L20" s="784" t="s">
        <v>684</v>
      </c>
      <c r="M20" s="784"/>
      <c r="N20" s="784"/>
      <c r="O20" s="784"/>
    </row>
    <row r="21" spans="1:15" s="310" customFormat="1" x14ac:dyDescent="0.25">
      <c r="A21" s="662"/>
      <c r="B21" s="670" t="s">
        <v>671</v>
      </c>
      <c r="C21" s="784" t="s">
        <v>621</v>
      </c>
      <c r="D21" s="784"/>
      <c r="E21" s="666"/>
      <c r="F21" s="601"/>
      <c r="G21" s="601"/>
      <c r="H21" s="604"/>
      <c r="I21" s="601"/>
      <c r="J21" s="605"/>
      <c r="K21" s="603"/>
      <c r="L21" s="666"/>
      <c r="M21" s="666"/>
      <c r="N21" s="666"/>
      <c r="O21" s="666"/>
    </row>
    <row r="22" spans="1:15" s="310" customFormat="1" x14ac:dyDescent="0.25">
      <c r="A22" s="662"/>
      <c r="B22" s="670"/>
      <c r="C22" s="601"/>
      <c r="D22" s="603"/>
      <c r="E22" s="603"/>
      <c r="F22" s="601"/>
      <c r="G22" s="601"/>
      <c r="H22" s="604"/>
      <c r="I22" s="601"/>
      <c r="J22" s="601"/>
      <c r="K22" s="603"/>
      <c r="L22" s="666"/>
      <c r="M22" s="666"/>
      <c r="N22" s="666"/>
      <c r="O22" s="666"/>
    </row>
    <row r="23" spans="1:15" s="310" customFormat="1" x14ac:dyDescent="0.2">
      <c r="A23" s="662"/>
      <c r="B23" s="670"/>
      <c r="C23" s="601"/>
      <c r="D23" s="603"/>
      <c r="E23" s="603"/>
      <c r="F23" s="601"/>
      <c r="G23" s="601"/>
      <c r="H23" s="604"/>
      <c r="I23" s="601"/>
      <c r="J23" s="603"/>
      <c r="K23" s="603"/>
      <c r="L23" s="601"/>
      <c r="M23" s="601"/>
      <c r="N23" s="601"/>
      <c r="O23" s="601"/>
    </row>
    <row r="24" spans="1:15" s="310" customFormat="1" x14ac:dyDescent="0.2">
      <c r="A24" s="662"/>
      <c r="B24" s="670"/>
      <c r="C24" s="601"/>
      <c r="D24" s="603"/>
      <c r="E24" s="603"/>
      <c r="F24" s="601"/>
      <c r="G24" s="601"/>
      <c r="H24" s="604"/>
      <c r="I24" s="601"/>
      <c r="J24" s="603"/>
      <c r="K24" s="603"/>
      <c r="L24" s="601"/>
      <c r="M24" s="601"/>
      <c r="N24" s="601"/>
      <c r="O24" s="601"/>
    </row>
    <row r="25" spans="1:15" s="310" customFormat="1" x14ac:dyDescent="0.2">
      <c r="A25" s="662"/>
      <c r="B25" s="670"/>
      <c r="C25" s="601"/>
      <c r="D25" s="603"/>
      <c r="E25" s="603"/>
      <c r="F25" s="601"/>
      <c r="G25" s="601"/>
      <c r="H25" s="604"/>
      <c r="I25" s="601"/>
      <c r="J25" s="603"/>
      <c r="K25" s="603"/>
      <c r="L25" s="601"/>
      <c r="M25" s="601"/>
      <c r="N25" s="601"/>
      <c r="O25" s="601"/>
    </row>
    <row r="26" spans="1:15" s="310" customFormat="1" x14ac:dyDescent="0.2">
      <c r="A26" s="662"/>
      <c r="B26" s="670"/>
      <c r="C26" s="601"/>
      <c r="D26" s="603"/>
      <c r="E26" s="603"/>
      <c r="F26" s="601"/>
      <c r="G26" s="601"/>
      <c r="H26" s="604"/>
      <c r="I26" s="601"/>
      <c r="J26" s="603"/>
      <c r="K26" s="603"/>
      <c r="L26" s="601"/>
      <c r="M26" s="601"/>
      <c r="N26" s="601"/>
      <c r="O26" s="601"/>
    </row>
    <row r="27" spans="1:15" s="310" customFormat="1" x14ac:dyDescent="0.25">
      <c r="A27" s="662"/>
      <c r="B27" s="777" t="s">
        <v>685</v>
      </c>
      <c r="C27" s="777"/>
      <c r="D27" s="777"/>
      <c r="E27" s="666"/>
      <c r="F27" s="603"/>
      <c r="G27" s="603"/>
      <c r="H27" s="604"/>
      <c r="I27" s="601"/>
      <c r="J27" s="603" t="s">
        <v>487</v>
      </c>
      <c r="K27" s="603"/>
      <c r="L27" s="784" t="s">
        <v>686</v>
      </c>
      <c r="M27" s="784"/>
      <c r="N27" s="784"/>
      <c r="O27" s="784"/>
    </row>
    <row r="28" spans="1:15" s="310" customFormat="1" ht="18.75" x14ac:dyDescent="0.3">
      <c r="A28" s="662"/>
      <c r="B28" s="777" t="s">
        <v>622</v>
      </c>
      <c r="C28" s="777"/>
      <c r="D28" s="777"/>
      <c r="E28" s="666"/>
      <c r="F28" s="603"/>
      <c r="G28" s="603"/>
      <c r="H28" s="303"/>
      <c r="I28" s="601"/>
      <c r="J28" s="603" t="s">
        <v>690</v>
      </c>
      <c r="K28" s="603"/>
      <c r="L28" s="784" t="s">
        <v>687</v>
      </c>
      <c r="M28" s="784"/>
      <c r="N28" s="784"/>
      <c r="O28" s="784"/>
    </row>
    <row r="29" spans="1:15" s="310" customFormat="1" ht="18.75" x14ac:dyDescent="0.3">
      <c r="A29" s="662"/>
      <c r="B29" s="601"/>
      <c r="C29" s="601"/>
      <c r="D29" s="601"/>
      <c r="E29" s="601"/>
      <c r="F29" s="601"/>
      <c r="G29" s="601"/>
      <c r="H29" s="303"/>
      <c r="I29" s="601"/>
      <c r="J29" s="601"/>
      <c r="K29" s="603"/>
      <c r="L29" s="784" t="s">
        <v>688</v>
      </c>
      <c r="M29" s="784"/>
      <c r="N29" s="784"/>
      <c r="O29" s="784"/>
    </row>
    <row r="30" spans="1:15" ht="18.75" x14ac:dyDescent="0.3">
      <c r="A30" s="663"/>
      <c r="B30" s="663"/>
      <c r="C30" s="303"/>
      <c r="D30" s="303"/>
      <c r="E30" s="303"/>
      <c r="F30" s="303"/>
      <c r="G30" s="303"/>
      <c r="H30" s="323"/>
      <c r="I30" s="303"/>
      <c r="J30" s="303"/>
      <c r="K30" s="679"/>
      <c r="L30" s="303"/>
      <c r="M30" s="303"/>
      <c r="N30" s="303"/>
      <c r="O30" s="680"/>
    </row>
    <row r="31" spans="1:15" ht="18.75" x14ac:dyDescent="0.3">
      <c r="A31" s="679"/>
      <c r="B31" s="303"/>
      <c r="C31" s="680"/>
      <c r="D31" s="303"/>
      <c r="E31" s="303"/>
      <c r="F31" s="303"/>
      <c r="G31" s="303"/>
      <c r="H31" s="323"/>
      <c r="I31" s="303"/>
      <c r="J31" s="303"/>
      <c r="K31" s="679"/>
      <c r="L31" s="303"/>
      <c r="M31" s="303"/>
      <c r="N31" s="303"/>
      <c r="O31" s="308"/>
    </row>
    <row r="32" spans="1:15" ht="18.75" x14ac:dyDescent="0.25">
      <c r="A32" s="207"/>
      <c r="C32" s="210"/>
      <c r="H32" s="323"/>
      <c r="O32" s="606"/>
    </row>
    <row r="33" spans="1:10" ht="18.75" x14ac:dyDescent="0.25">
      <c r="A33" s="207"/>
      <c r="B33" s="207"/>
      <c r="C33" s="207"/>
      <c r="D33" s="207"/>
      <c r="E33" s="207"/>
      <c r="H33" s="323"/>
    </row>
    <row r="34" spans="1:10" x14ac:dyDescent="0.25">
      <c r="D34" s="207"/>
      <c r="E34" s="207"/>
      <c r="F34" s="207"/>
      <c r="G34" s="207"/>
    </row>
    <row r="35" spans="1:10" x14ac:dyDescent="0.25">
      <c r="E35" s="210"/>
    </row>
    <row r="36" spans="1:10" x14ac:dyDescent="0.25">
      <c r="E36" s="210"/>
      <c r="J36" s="210">
        <f>+E36-F36</f>
        <v>0</v>
      </c>
    </row>
  </sheetData>
  <mergeCells count="20">
    <mergeCell ref="L29:O29"/>
    <mergeCell ref="L28:O28"/>
    <mergeCell ref="L17:O17"/>
    <mergeCell ref="L18:O18"/>
    <mergeCell ref="L19:O19"/>
    <mergeCell ref="B28:D28"/>
    <mergeCell ref="A1:O1"/>
    <mergeCell ref="A2:O2"/>
    <mergeCell ref="A3:O3"/>
    <mergeCell ref="A4:O4"/>
    <mergeCell ref="A5:A7"/>
    <mergeCell ref="B5:B7"/>
    <mergeCell ref="C5:F5"/>
    <mergeCell ref="J5:L5"/>
    <mergeCell ref="N5:O5"/>
    <mergeCell ref="C20:D20"/>
    <mergeCell ref="L27:O27"/>
    <mergeCell ref="B27:D27"/>
    <mergeCell ref="L20:O20"/>
    <mergeCell ref="C21:D2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45"/>
  <sheetViews>
    <sheetView topLeftCell="A22" zoomScale="85" zoomScaleNormal="85" workbookViewId="0">
      <selection activeCell="A50" sqref="A50"/>
    </sheetView>
  </sheetViews>
  <sheetFormatPr defaultColWidth="9.140625" defaultRowHeight="12.75" x14ac:dyDescent="0.2"/>
  <cols>
    <col min="1" max="1" width="51.7109375" style="1" customWidth="1"/>
    <col min="2" max="2" width="8" style="1" customWidth="1"/>
    <col min="3" max="3" width="10" style="1" customWidth="1"/>
    <col min="4" max="4" width="20.7109375" style="1" customWidth="1"/>
    <col min="5" max="5" width="20.7109375" style="557" customWidth="1"/>
    <col min="6" max="7" width="9.140625" style="1"/>
    <col min="8" max="8" width="12.85546875" style="1" bestFit="1" customWidth="1"/>
    <col min="9" max="9" width="10.28515625" style="1" bestFit="1" customWidth="1"/>
    <col min="10" max="11" width="9.140625" style="1"/>
    <col min="12" max="13" width="12.28515625" style="1" bestFit="1" customWidth="1"/>
    <col min="14" max="16384" width="9.140625" style="1"/>
  </cols>
  <sheetData>
    <row r="1" spans="1:13" customFormat="1" ht="15.75" x14ac:dyDescent="0.2">
      <c r="A1" s="785" t="s">
        <v>602</v>
      </c>
      <c r="B1" s="785"/>
      <c r="C1" s="785"/>
      <c r="D1" s="785"/>
      <c r="E1" s="785"/>
    </row>
    <row r="2" spans="1:13" customFormat="1" ht="14.25" x14ac:dyDescent="0.2">
      <c r="A2" s="762" t="s">
        <v>628</v>
      </c>
      <c r="B2" s="762"/>
      <c r="C2" s="762"/>
      <c r="D2" s="762"/>
      <c r="E2" s="762"/>
      <c r="F2" s="21"/>
      <c r="G2" s="21"/>
    </row>
    <row r="3" spans="1:13" ht="15.75" x14ac:dyDescent="0.25">
      <c r="A3" s="761" t="s">
        <v>662</v>
      </c>
      <c r="B3" s="761"/>
      <c r="C3" s="761"/>
      <c r="D3" s="761"/>
      <c r="E3" s="761"/>
    </row>
    <row r="4" spans="1:13" ht="16.5" thickBot="1" x14ac:dyDescent="0.3">
      <c r="A4" s="786" t="s">
        <v>0</v>
      </c>
      <c r="B4" s="786"/>
      <c r="C4" s="786"/>
      <c r="D4" s="786"/>
      <c r="E4" s="786"/>
    </row>
    <row r="5" spans="1:13" ht="15.75" x14ac:dyDescent="0.25">
      <c r="A5" s="753" t="s">
        <v>422</v>
      </c>
      <c r="B5" s="754"/>
      <c r="C5" s="750" t="s">
        <v>1</v>
      </c>
      <c r="D5" s="224" t="s">
        <v>2</v>
      </c>
      <c r="E5" s="226" t="s">
        <v>2</v>
      </c>
    </row>
    <row r="6" spans="1:13" ht="15.75" x14ac:dyDescent="0.25">
      <c r="A6" s="755"/>
      <c r="B6" s="756"/>
      <c r="C6" s="751"/>
      <c r="D6" s="183" t="str">
        <f>+'MBA PL '!C7</f>
        <v>31.03.2025</v>
      </c>
      <c r="E6" s="227" t="str">
        <f>+'MBA PL '!E7</f>
        <v>31.03.2024</v>
      </c>
    </row>
    <row r="7" spans="1:13" ht="15.75" x14ac:dyDescent="0.25">
      <c r="A7" s="757"/>
      <c r="B7" s="758"/>
      <c r="C7" s="752"/>
      <c r="D7" s="184" t="s">
        <v>659</v>
      </c>
      <c r="E7" s="567" t="s">
        <v>659</v>
      </c>
    </row>
    <row r="8" spans="1:13" ht="15.75" x14ac:dyDescent="0.25">
      <c r="A8" s="220"/>
      <c r="B8" s="707"/>
      <c r="C8" s="181"/>
      <c r="D8" s="185"/>
      <c r="E8" s="228"/>
    </row>
    <row r="9" spans="1:13" ht="15.75" x14ac:dyDescent="0.25">
      <c r="A9" s="225" t="s">
        <v>4</v>
      </c>
      <c r="B9" s="727"/>
      <c r="C9" s="181"/>
      <c r="D9" s="232"/>
      <c r="E9" s="229"/>
    </row>
    <row r="10" spans="1:13" ht="15.75" x14ac:dyDescent="0.25">
      <c r="A10" s="225"/>
      <c r="B10" s="727"/>
      <c r="C10" s="181"/>
      <c r="D10" s="232"/>
      <c r="E10" s="229"/>
    </row>
    <row r="11" spans="1:13" ht="15.75" x14ac:dyDescent="0.25">
      <c r="A11" s="221" t="s">
        <v>137</v>
      </c>
      <c r="B11" s="708"/>
      <c r="C11" s="182">
        <v>1</v>
      </c>
      <c r="D11" s="233">
        <f>'MBA Schedules'!D10</f>
        <v>43512523.780000001</v>
      </c>
      <c r="E11" s="230">
        <f>'MBA Schedules'!F10</f>
        <v>36825023.539999999</v>
      </c>
      <c r="J11" s="1">
        <v>12649350.220000001</v>
      </c>
      <c r="K11" s="1">
        <v>10967205</v>
      </c>
      <c r="L11" s="624">
        <f>D11+J11</f>
        <v>56161874</v>
      </c>
      <c r="M11" s="624">
        <f>+E11+K11</f>
        <v>47792228.539999999</v>
      </c>
    </row>
    <row r="12" spans="1:13" ht="15.75" customHeight="1" x14ac:dyDescent="0.25">
      <c r="A12" s="221" t="s">
        <v>0</v>
      </c>
      <c r="B12" s="708"/>
      <c r="C12" s="182"/>
      <c r="D12" s="234"/>
      <c r="E12" s="231"/>
    </row>
    <row r="13" spans="1:13" ht="15.75" x14ac:dyDescent="0.25">
      <c r="A13" s="221" t="s">
        <v>656</v>
      </c>
      <c r="B13" s="708"/>
      <c r="C13" s="235">
        <v>2</v>
      </c>
      <c r="D13" s="347">
        <f>'MBA Schedules'!D13</f>
        <v>-6375730.5900000036</v>
      </c>
      <c r="E13" s="646">
        <f>'MBA PL '!E35</f>
        <v>6687500.1900000051</v>
      </c>
    </row>
    <row r="14" spans="1:13" ht="15.75" x14ac:dyDescent="0.25">
      <c r="A14" s="221"/>
      <c r="B14" s="708"/>
      <c r="C14" s="182"/>
      <c r="D14" s="234"/>
      <c r="E14" s="231"/>
      <c r="J14" s="1">
        <v>-4303373.1999999993</v>
      </c>
      <c r="K14" s="1">
        <v>1682144.58</v>
      </c>
      <c r="L14" s="624">
        <f>+D13+J14</f>
        <v>-10679103.790000003</v>
      </c>
      <c r="M14" s="624">
        <f>+E13+K14</f>
        <v>8369644.7700000051</v>
      </c>
    </row>
    <row r="15" spans="1:13" ht="15.75" x14ac:dyDescent="0.25">
      <c r="A15" s="221" t="s">
        <v>470</v>
      </c>
      <c r="B15" s="708"/>
      <c r="C15" s="182">
        <v>3</v>
      </c>
      <c r="D15" s="233">
        <f>'MBA Schedules'!D17</f>
        <v>0</v>
      </c>
      <c r="E15" s="230">
        <f>'MBA Schedules'!F17</f>
        <v>0</v>
      </c>
    </row>
    <row r="16" spans="1:13" ht="15.75" x14ac:dyDescent="0.25">
      <c r="A16" s="221"/>
      <c r="B16" s="708"/>
      <c r="C16" s="182"/>
      <c r="D16" s="233"/>
      <c r="E16" s="230"/>
    </row>
    <row r="17" spans="1:13" ht="15.75" x14ac:dyDescent="0.25">
      <c r="A17" s="221" t="s">
        <v>471</v>
      </c>
      <c r="B17" s="708"/>
      <c r="C17" s="182">
        <v>4</v>
      </c>
      <c r="D17" s="233">
        <f>'MBA Schedules'!D21</f>
        <v>0</v>
      </c>
      <c r="E17" s="230">
        <f>'MBA Schedules'!F21</f>
        <v>0</v>
      </c>
      <c r="J17" s="1">
        <v>0</v>
      </c>
      <c r="K17" s="1">
        <v>0</v>
      </c>
    </row>
    <row r="18" spans="1:13" ht="15.75" x14ac:dyDescent="0.25">
      <c r="A18" s="221"/>
      <c r="B18" s="708"/>
      <c r="C18" s="182"/>
      <c r="D18" s="233"/>
      <c r="E18" s="230"/>
    </row>
    <row r="19" spans="1:13" ht="15.75" x14ac:dyDescent="0.25">
      <c r="A19" s="221" t="s">
        <v>472</v>
      </c>
      <c r="B19" s="708"/>
      <c r="C19" s="182">
        <v>5</v>
      </c>
      <c r="D19" s="233">
        <f>'MBA Schedules'!D28</f>
        <v>106253283</v>
      </c>
      <c r="E19" s="230">
        <f>'MBA Schedules'!F28</f>
        <v>102994925</v>
      </c>
      <c r="J19" s="1">
        <v>0</v>
      </c>
      <c r="K19" s="1">
        <v>0</v>
      </c>
    </row>
    <row r="20" spans="1:13" ht="15.75" x14ac:dyDescent="0.25">
      <c r="A20" s="223"/>
      <c r="B20" s="728"/>
      <c r="C20" s="182"/>
      <c r="D20" s="233"/>
      <c r="E20" s="230"/>
    </row>
    <row r="21" spans="1:13" ht="16.5" thickBot="1" x14ac:dyDescent="0.3">
      <c r="A21" s="787" t="s">
        <v>54</v>
      </c>
      <c r="B21" s="788"/>
      <c r="C21" s="468"/>
      <c r="D21" s="394">
        <f>SUM(D11:D19)</f>
        <v>143390076.19</v>
      </c>
      <c r="E21" s="395">
        <f>SUM(E11:E19)</f>
        <v>146507448.73000002</v>
      </c>
      <c r="I21" s="624"/>
      <c r="J21" s="1">
        <v>18380657.5</v>
      </c>
      <c r="K21" s="1">
        <v>18302952</v>
      </c>
      <c r="L21" s="624">
        <f>+D19+J21</f>
        <v>124633940.5</v>
      </c>
      <c r="M21" s="624">
        <f>+E19+K21</f>
        <v>121297877</v>
      </c>
    </row>
    <row r="22" spans="1:13" ht="15.75" x14ac:dyDescent="0.25">
      <c r="A22" s="222"/>
      <c r="B22" s="717"/>
      <c r="C22" s="235"/>
      <c r="D22" s="233"/>
      <c r="E22" s="230"/>
    </row>
    <row r="23" spans="1:13" ht="15.75" x14ac:dyDescent="0.25">
      <c r="A23" s="223" t="s">
        <v>5</v>
      </c>
      <c r="B23" s="728"/>
      <c r="C23" s="235"/>
      <c r="D23" s="233"/>
      <c r="E23" s="231"/>
      <c r="H23" s="624">
        <f>D21-D13</f>
        <v>149765806.78</v>
      </c>
      <c r="J23" s="1">
        <v>26726634.520000003</v>
      </c>
      <c r="K23" s="1">
        <v>30952301.579999998</v>
      </c>
      <c r="L23" s="624">
        <f>+D21+J23</f>
        <v>170116710.71000001</v>
      </c>
      <c r="M23" s="624">
        <f>+E21+K23</f>
        <v>177459750.31</v>
      </c>
    </row>
    <row r="24" spans="1:13" ht="12" customHeight="1" x14ac:dyDescent="0.25">
      <c r="A24" s="221"/>
      <c r="B24" s="708"/>
      <c r="C24" s="235"/>
      <c r="D24" s="233"/>
      <c r="E24" s="231"/>
    </row>
    <row r="25" spans="1:13" ht="15.75" x14ac:dyDescent="0.25">
      <c r="A25" s="221" t="s">
        <v>473</v>
      </c>
      <c r="B25" s="708"/>
      <c r="C25" s="235">
        <v>6</v>
      </c>
      <c r="D25" s="233">
        <f>'MBA Schedules'!D32</f>
        <v>18360865.890000001</v>
      </c>
      <c r="E25" s="231">
        <f>'MBA Schedules'!F32</f>
        <v>19694264.890000001</v>
      </c>
    </row>
    <row r="26" spans="1:13" ht="15.75" x14ac:dyDescent="0.25">
      <c r="A26" s="221"/>
      <c r="B26" s="708"/>
      <c r="C26" s="235"/>
      <c r="D26" s="233"/>
      <c r="E26" s="230"/>
    </row>
    <row r="27" spans="1:13" ht="15.75" x14ac:dyDescent="0.25">
      <c r="A27" s="221" t="s">
        <v>474</v>
      </c>
      <c r="B27" s="708"/>
      <c r="C27" s="235">
        <v>7</v>
      </c>
      <c r="D27" s="233">
        <f>'MBA Schedules'!D37</f>
        <v>2081492</v>
      </c>
      <c r="E27" s="230">
        <f>'MBA Schedules'!F37</f>
        <v>1958659</v>
      </c>
      <c r="J27" s="1">
        <v>5266523.8</v>
      </c>
      <c r="K27" s="1">
        <v>5966795</v>
      </c>
      <c r="L27" s="624">
        <f>+D25+J27</f>
        <v>23627389.690000001</v>
      </c>
      <c r="M27" s="624">
        <f>+E25+K27</f>
        <v>25661059.890000001</v>
      </c>
    </row>
    <row r="28" spans="1:13" ht="15.75" x14ac:dyDescent="0.25">
      <c r="A28" s="221"/>
      <c r="B28" s="708"/>
      <c r="C28" s="235"/>
      <c r="D28" s="233"/>
      <c r="E28" s="231"/>
    </row>
    <row r="29" spans="1:13" ht="15.75" x14ac:dyDescent="0.25">
      <c r="A29" s="221" t="s">
        <v>614</v>
      </c>
      <c r="B29" s="708"/>
      <c r="C29" s="235">
        <v>8</v>
      </c>
      <c r="D29" s="233">
        <f>'MBA Schedules'!D43</f>
        <v>119818029.68000001</v>
      </c>
      <c r="E29" s="231">
        <f>'MBA Schedules'!F43</f>
        <v>114170469</v>
      </c>
      <c r="J29" s="1">
        <v>6118517</v>
      </c>
      <c r="K29" s="1">
        <v>6023868</v>
      </c>
      <c r="L29" s="624">
        <f>+D27+J29</f>
        <v>8200009</v>
      </c>
      <c r="M29" s="624">
        <f>+E27+K29</f>
        <v>7982527</v>
      </c>
    </row>
    <row r="30" spans="1:13" ht="15.75" x14ac:dyDescent="0.25">
      <c r="A30" s="222"/>
      <c r="B30" s="717"/>
      <c r="C30" s="235"/>
      <c r="D30" s="233"/>
      <c r="E30" s="230"/>
    </row>
    <row r="31" spans="1:13" ht="15.75" x14ac:dyDescent="0.25">
      <c r="A31" s="221" t="s">
        <v>475</v>
      </c>
      <c r="B31" s="708"/>
      <c r="C31" s="235">
        <v>9</v>
      </c>
      <c r="D31" s="233">
        <f>'MBA Schedules'!D47</f>
        <v>3129688.66</v>
      </c>
      <c r="E31" s="231">
        <f>'MBA Schedules'!F47</f>
        <v>10684056.25</v>
      </c>
      <c r="J31" s="1">
        <v>14371467.4</v>
      </c>
      <c r="K31" s="1">
        <v>12116124</v>
      </c>
      <c r="L31" s="624">
        <f>+D29+J31</f>
        <v>134189497.08000001</v>
      </c>
      <c r="M31" s="624">
        <f>+E29+K31</f>
        <v>126286593</v>
      </c>
    </row>
    <row r="32" spans="1:13" ht="15.75" x14ac:dyDescent="0.25">
      <c r="A32" s="223"/>
      <c r="B32" s="728"/>
      <c r="C32" s="235"/>
      <c r="D32" s="236"/>
      <c r="E32" s="231"/>
    </row>
    <row r="33" spans="1:13" ht="16.5" thickBot="1" x14ac:dyDescent="0.3">
      <c r="A33" s="789" t="s">
        <v>54</v>
      </c>
      <c r="B33" s="790"/>
      <c r="C33" s="529"/>
      <c r="D33" s="394">
        <f>SUM(D25:D31)</f>
        <v>143390076.22999999</v>
      </c>
      <c r="E33" s="395">
        <f>SUM(E25:E31)</f>
        <v>146507449.13999999</v>
      </c>
      <c r="J33" s="1">
        <v>970126.32</v>
      </c>
      <c r="K33" s="1">
        <v>6845515</v>
      </c>
      <c r="L33" s="624">
        <f>+D31+J33</f>
        <v>4099814.98</v>
      </c>
      <c r="M33" s="624">
        <f>+E31+K33</f>
        <v>17529571.25</v>
      </c>
    </row>
    <row r="34" spans="1:13" ht="15.75" x14ac:dyDescent="0.25">
      <c r="A34" s="12"/>
      <c r="B34" s="12"/>
      <c r="C34" s="15"/>
      <c r="D34" s="12"/>
      <c r="E34" s="554"/>
    </row>
    <row r="35" spans="1:13" s="214" customFormat="1" ht="15.75" x14ac:dyDescent="0.25">
      <c r="A35" s="11" t="s">
        <v>589</v>
      </c>
      <c r="B35" s="11"/>
      <c r="C35" s="17"/>
      <c r="D35" s="15"/>
      <c r="E35" s="555"/>
      <c r="J35" s="214">
        <v>26726634.520000003</v>
      </c>
      <c r="K35" s="214">
        <v>30952302</v>
      </c>
      <c r="L35" s="643">
        <f>+D33+J35</f>
        <v>170116710.75</v>
      </c>
      <c r="M35" s="643">
        <f>+E33+K35</f>
        <v>177459751.13999999</v>
      </c>
    </row>
    <row r="36" spans="1:13" s="214" customFormat="1" ht="14.25" x14ac:dyDescent="0.2">
      <c r="C36" s="770" t="s">
        <v>603</v>
      </c>
      <c r="D36" s="770"/>
      <c r="E36" s="770"/>
    </row>
    <row r="37" spans="1:13" s="214" customFormat="1" ht="15.75" x14ac:dyDescent="0.25">
      <c r="A37" s="11" t="s">
        <v>552</v>
      </c>
      <c r="B37" s="11"/>
      <c r="C37" s="770" t="s">
        <v>629</v>
      </c>
      <c r="D37" s="770"/>
      <c r="E37" s="770"/>
    </row>
    <row r="38" spans="1:13" s="214" customFormat="1" ht="15.75" x14ac:dyDescent="0.25">
      <c r="A38" s="11"/>
      <c r="B38" s="11"/>
      <c r="C38" s="625"/>
      <c r="D38" s="625"/>
      <c r="E38" s="625"/>
    </row>
    <row r="39" spans="1:13" s="214" customFormat="1" ht="15.75" x14ac:dyDescent="0.25">
      <c r="A39" s="11"/>
      <c r="B39" s="11"/>
      <c r="C39" s="12"/>
      <c r="D39" s="12"/>
      <c r="E39" s="556"/>
    </row>
    <row r="40" spans="1:13" x14ac:dyDescent="0.2">
      <c r="A40" s="5"/>
      <c r="B40" s="5"/>
      <c r="C40" s="5"/>
      <c r="D40" s="5"/>
      <c r="E40" s="5"/>
      <c r="F40" s="5"/>
    </row>
    <row r="41" spans="1:13" ht="15.75" x14ac:dyDescent="0.25">
      <c r="A41" s="348" t="s">
        <v>681</v>
      </c>
      <c r="B41" s="761" t="s">
        <v>682</v>
      </c>
      <c r="C41" s="761"/>
      <c r="D41" s="761"/>
      <c r="E41" s="761"/>
      <c r="F41" s="15"/>
    </row>
    <row r="42" spans="1:13" ht="15.75" x14ac:dyDescent="0.25">
      <c r="A42" s="177" t="s">
        <v>416</v>
      </c>
      <c r="B42" s="761" t="s">
        <v>671</v>
      </c>
      <c r="C42" s="761"/>
      <c r="D42" s="761"/>
      <c r="E42" s="761"/>
      <c r="F42" s="90"/>
    </row>
    <row r="43" spans="1:13" ht="15.75" x14ac:dyDescent="0.25">
      <c r="A43" s="11" t="s">
        <v>684</v>
      </c>
      <c r="B43" s="12"/>
      <c r="C43" s="13"/>
      <c r="D43" s="14"/>
      <c r="E43" s="14"/>
      <c r="F43" s="90"/>
    </row>
    <row r="44" spans="1:13" ht="15.75" x14ac:dyDescent="0.25">
      <c r="A44" s="11"/>
      <c r="B44" s="12"/>
      <c r="C44" s="11"/>
      <c r="D44" s="11"/>
      <c r="E44" s="11"/>
      <c r="F44" s="90"/>
    </row>
    <row r="45" spans="1:13" ht="15.75" x14ac:dyDescent="0.25">
      <c r="A45" s="11"/>
      <c r="B45" s="11"/>
      <c r="C45" s="11"/>
      <c r="D45" s="11"/>
      <c r="E45" s="11"/>
      <c r="F45" s="90"/>
    </row>
    <row r="46" spans="1:13" ht="15.75" x14ac:dyDescent="0.25">
      <c r="A46" s="11"/>
      <c r="B46" s="762" t="s">
        <v>683</v>
      </c>
      <c r="C46" s="762"/>
      <c r="D46" s="762"/>
      <c r="E46" s="762"/>
      <c r="F46" s="90"/>
    </row>
    <row r="47" spans="1:13" ht="15.75" x14ac:dyDescent="0.25">
      <c r="A47" s="11"/>
      <c r="B47" s="763" t="s">
        <v>621</v>
      </c>
      <c r="C47" s="763"/>
      <c r="D47" s="763"/>
      <c r="E47" s="763"/>
      <c r="F47" s="90"/>
    </row>
    <row r="48" spans="1:13" ht="15.75" x14ac:dyDescent="0.25">
      <c r="A48" s="348" t="s">
        <v>686</v>
      </c>
      <c r="B48" s="11"/>
      <c r="C48" s="11"/>
      <c r="D48" s="11"/>
      <c r="E48" s="11"/>
      <c r="F48" s="90"/>
    </row>
    <row r="49" spans="1:6" ht="15.75" x14ac:dyDescent="0.25">
      <c r="A49" s="148" t="s">
        <v>687</v>
      </c>
      <c r="B49" s="11"/>
      <c r="C49" s="11"/>
      <c r="D49" s="11"/>
      <c r="E49" s="11"/>
      <c r="F49" s="90"/>
    </row>
    <row r="50" spans="1:6" ht="15.75" x14ac:dyDescent="0.25">
      <c r="A50" s="11" t="s">
        <v>688</v>
      </c>
      <c r="B50" s="11"/>
      <c r="C50" s="11"/>
      <c r="D50" s="11"/>
      <c r="E50" s="11"/>
      <c r="F50" s="90"/>
    </row>
    <row r="51" spans="1:6" ht="15.75" x14ac:dyDescent="0.25">
      <c r="A51" s="148" t="s">
        <v>419</v>
      </c>
      <c r="B51" s="764" t="s">
        <v>685</v>
      </c>
      <c r="C51" s="764"/>
      <c r="D51" s="764"/>
      <c r="E51" s="764"/>
      <c r="F51" s="16"/>
    </row>
    <row r="52" spans="1:6" ht="15.75" x14ac:dyDescent="0.25">
      <c r="A52" s="148" t="s">
        <v>690</v>
      </c>
      <c r="B52" s="748" t="s">
        <v>622</v>
      </c>
      <c r="C52" s="748"/>
      <c r="D52" s="748"/>
      <c r="E52" s="748"/>
      <c r="F52" s="16"/>
    </row>
    <row r="53" spans="1:6" x14ac:dyDescent="0.2">
      <c r="A53" s="5"/>
      <c r="B53" s="5"/>
      <c r="C53" s="5"/>
      <c r="D53" s="5"/>
      <c r="E53" s="5"/>
    </row>
    <row r="54" spans="1:6" x14ac:dyDescent="0.2">
      <c r="A54" s="5"/>
      <c r="B54" s="5"/>
      <c r="C54" s="5"/>
      <c r="D54" s="5"/>
      <c r="E54" s="558"/>
    </row>
    <row r="55" spans="1:6" x14ac:dyDescent="0.2">
      <c r="A55" s="5"/>
      <c r="B55" s="5"/>
      <c r="C55" s="5"/>
      <c r="D55" s="5"/>
      <c r="E55" s="558"/>
    </row>
    <row r="56" spans="1:6" x14ac:dyDescent="0.2">
      <c r="A56" s="5"/>
      <c r="B56" s="5"/>
      <c r="C56" s="5"/>
      <c r="D56" s="5"/>
      <c r="E56" s="558"/>
    </row>
    <row r="57" spans="1:6" x14ac:dyDescent="0.2">
      <c r="A57" s="5"/>
      <c r="B57" s="5"/>
      <c r="C57" s="5"/>
      <c r="D57" s="5"/>
      <c r="E57" s="558"/>
    </row>
    <row r="58" spans="1:6" x14ac:dyDescent="0.2">
      <c r="A58" s="5"/>
      <c r="B58" s="5"/>
      <c r="C58" s="5"/>
      <c r="D58" s="5"/>
      <c r="E58" s="558"/>
    </row>
    <row r="59" spans="1:6" x14ac:dyDescent="0.2">
      <c r="A59" s="5"/>
      <c r="B59" s="5"/>
      <c r="C59" s="5"/>
      <c r="D59" s="5"/>
      <c r="E59" s="558"/>
    </row>
    <row r="60" spans="1:6" x14ac:dyDescent="0.2">
      <c r="A60" s="5"/>
      <c r="B60" s="5"/>
      <c r="C60" s="5"/>
      <c r="D60" s="5"/>
      <c r="E60" s="558"/>
    </row>
    <row r="61" spans="1:6" x14ac:dyDescent="0.2">
      <c r="A61" s="5"/>
      <c r="B61" s="5"/>
      <c r="C61" s="5"/>
      <c r="D61" s="5"/>
      <c r="E61" s="558"/>
    </row>
    <row r="62" spans="1:6" x14ac:dyDescent="0.2">
      <c r="A62" s="5"/>
      <c r="B62" s="5"/>
      <c r="C62" s="5"/>
      <c r="D62" s="5"/>
      <c r="E62" s="558"/>
    </row>
    <row r="63" spans="1:6" x14ac:dyDescent="0.2">
      <c r="A63" s="5"/>
      <c r="B63" s="5"/>
      <c r="C63" s="5"/>
      <c r="D63" s="5"/>
      <c r="E63" s="558"/>
    </row>
    <row r="64" spans="1:6" x14ac:dyDescent="0.2">
      <c r="A64" s="5"/>
      <c r="B64" s="5"/>
      <c r="C64" s="5"/>
      <c r="D64" s="5"/>
      <c r="E64" s="558"/>
    </row>
    <row r="65" spans="1:5" x14ac:dyDescent="0.2">
      <c r="A65" s="5"/>
      <c r="B65" s="5"/>
      <c r="C65" s="5"/>
      <c r="D65" s="5"/>
      <c r="E65" s="558"/>
    </row>
    <row r="66" spans="1:5" x14ac:dyDescent="0.2">
      <c r="A66" s="5"/>
      <c r="B66" s="5"/>
      <c r="C66" s="5"/>
      <c r="D66" s="5"/>
      <c r="E66" s="558"/>
    </row>
    <row r="67" spans="1:5" x14ac:dyDescent="0.2">
      <c r="A67" s="5"/>
      <c r="B67" s="5"/>
      <c r="C67" s="5"/>
      <c r="D67" s="5"/>
      <c r="E67" s="558"/>
    </row>
    <row r="68" spans="1:5" x14ac:dyDescent="0.2">
      <c r="A68" s="5"/>
      <c r="B68" s="5"/>
      <c r="C68" s="5"/>
      <c r="D68" s="5"/>
      <c r="E68" s="558"/>
    </row>
    <row r="69" spans="1:5" x14ac:dyDescent="0.2">
      <c r="A69" s="5"/>
      <c r="B69" s="5"/>
      <c r="C69" s="5"/>
      <c r="D69" s="5"/>
      <c r="E69" s="558"/>
    </row>
    <row r="70" spans="1:5" x14ac:dyDescent="0.2">
      <c r="A70" s="5"/>
      <c r="B70" s="5"/>
      <c r="C70" s="5"/>
      <c r="D70" s="5"/>
      <c r="E70" s="558"/>
    </row>
    <row r="71" spans="1:5" x14ac:dyDescent="0.2">
      <c r="A71" s="5"/>
      <c r="B71" s="5"/>
      <c r="C71" s="5"/>
      <c r="D71" s="5"/>
      <c r="E71" s="558"/>
    </row>
    <row r="72" spans="1:5" x14ac:dyDescent="0.2">
      <c r="A72" s="5"/>
      <c r="B72" s="5"/>
      <c r="C72" s="5"/>
      <c r="D72" s="5"/>
      <c r="E72" s="558"/>
    </row>
    <row r="73" spans="1:5" x14ac:dyDescent="0.2">
      <c r="A73" s="5"/>
      <c r="B73" s="5"/>
      <c r="C73" s="5"/>
      <c r="D73" s="5"/>
      <c r="E73" s="558"/>
    </row>
    <row r="74" spans="1:5" x14ac:dyDescent="0.2">
      <c r="A74" s="5"/>
      <c r="B74" s="5"/>
      <c r="C74" s="5"/>
      <c r="D74" s="5"/>
      <c r="E74" s="558"/>
    </row>
    <row r="75" spans="1:5" x14ac:dyDescent="0.2">
      <c r="A75" s="5"/>
      <c r="B75" s="5"/>
      <c r="C75" s="5"/>
      <c r="D75" s="5"/>
      <c r="E75" s="558"/>
    </row>
    <row r="76" spans="1:5" x14ac:dyDescent="0.2">
      <c r="A76" s="5"/>
      <c r="B76" s="5"/>
      <c r="C76" s="5"/>
      <c r="D76" s="5"/>
      <c r="E76" s="558"/>
    </row>
    <row r="77" spans="1:5" x14ac:dyDescent="0.2">
      <c r="A77" s="5"/>
      <c r="B77" s="5"/>
      <c r="C77" s="5"/>
      <c r="D77" s="5"/>
      <c r="E77" s="558"/>
    </row>
    <row r="78" spans="1:5" x14ac:dyDescent="0.2">
      <c r="A78" s="5"/>
      <c r="B78" s="5"/>
      <c r="C78" s="5"/>
      <c r="D78" s="5"/>
      <c r="E78" s="558"/>
    </row>
    <row r="79" spans="1:5" x14ac:dyDescent="0.2">
      <c r="A79" s="5"/>
      <c r="B79" s="5"/>
      <c r="C79" s="5"/>
      <c r="D79" s="5"/>
      <c r="E79" s="558"/>
    </row>
    <row r="80" spans="1:5" x14ac:dyDescent="0.2">
      <c r="A80" s="5"/>
      <c r="B80" s="5"/>
      <c r="C80" s="5"/>
      <c r="D80" s="5"/>
      <c r="E80" s="558"/>
    </row>
    <row r="81" spans="1:5" x14ac:dyDescent="0.2">
      <c r="A81" s="5"/>
      <c r="B81" s="5"/>
      <c r="C81" s="5"/>
      <c r="D81" s="5"/>
      <c r="E81" s="558"/>
    </row>
    <row r="82" spans="1:5" x14ac:dyDescent="0.2">
      <c r="A82" s="5"/>
      <c r="B82" s="5"/>
      <c r="C82" s="5"/>
      <c r="D82" s="5"/>
      <c r="E82" s="558"/>
    </row>
    <row r="83" spans="1:5" x14ac:dyDescent="0.2">
      <c r="A83" s="5"/>
      <c r="B83" s="5"/>
      <c r="C83" s="5"/>
      <c r="D83" s="5"/>
      <c r="E83" s="558"/>
    </row>
    <row r="84" spans="1:5" x14ac:dyDescent="0.2">
      <c r="A84" s="5"/>
      <c r="B84" s="5"/>
      <c r="C84" s="5"/>
      <c r="D84" s="5"/>
      <c r="E84" s="558"/>
    </row>
    <row r="85" spans="1:5" x14ac:dyDescent="0.2">
      <c r="A85" s="5"/>
      <c r="B85" s="5"/>
      <c r="C85" s="5"/>
      <c r="D85" s="5"/>
      <c r="E85" s="558"/>
    </row>
    <row r="86" spans="1:5" x14ac:dyDescent="0.2">
      <c r="A86" s="5"/>
      <c r="B86" s="5"/>
      <c r="C86" s="5"/>
      <c r="D86" s="5"/>
      <c r="E86" s="558"/>
    </row>
    <row r="87" spans="1:5" x14ac:dyDescent="0.2">
      <c r="A87" s="5"/>
      <c r="B87" s="5"/>
      <c r="C87" s="5"/>
      <c r="D87" s="5"/>
      <c r="E87" s="558"/>
    </row>
    <row r="88" spans="1:5" x14ac:dyDescent="0.2">
      <c r="A88" s="5"/>
      <c r="B88" s="5"/>
      <c r="C88" s="5"/>
      <c r="D88" s="5"/>
      <c r="E88" s="558"/>
    </row>
    <row r="89" spans="1:5" x14ac:dyDescent="0.2">
      <c r="A89" s="5"/>
      <c r="B89" s="5"/>
      <c r="C89" s="5"/>
      <c r="D89" s="5"/>
      <c r="E89" s="558"/>
    </row>
    <row r="90" spans="1:5" x14ac:dyDescent="0.2">
      <c r="A90" s="5"/>
      <c r="B90" s="5"/>
      <c r="C90" s="5"/>
      <c r="D90" s="5"/>
      <c r="E90" s="558"/>
    </row>
    <row r="91" spans="1:5" x14ac:dyDescent="0.2">
      <c r="A91" s="5"/>
      <c r="B91" s="5"/>
      <c r="C91" s="5"/>
      <c r="D91" s="5"/>
      <c r="E91" s="558"/>
    </row>
    <row r="92" spans="1:5" x14ac:dyDescent="0.2">
      <c r="A92" s="5"/>
      <c r="B92" s="5"/>
      <c r="C92" s="5"/>
      <c r="D92" s="5"/>
      <c r="E92" s="558"/>
    </row>
    <row r="93" spans="1:5" x14ac:dyDescent="0.2">
      <c r="A93" s="5"/>
      <c r="B93" s="5"/>
      <c r="C93" s="5"/>
      <c r="D93" s="5"/>
      <c r="E93" s="558"/>
    </row>
    <row r="94" spans="1:5" x14ac:dyDescent="0.2">
      <c r="A94" s="5"/>
      <c r="B94" s="5"/>
      <c r="C94" s="5"/>
      <c r="D94" s="5"/>
      <c r="E94" s="558"/>
    </row>
    <row r="95" spans="1:5" x14ac:dyDescent="0.2">
      <c r="A95" s="5"/>
      <c r="B95" s="5"/>
      <c r="C95" s="5"/>
      <c r="D95" s="5"/>
      <c r="E95" s="558"/>
    </row>
    <row r="96" spans="1:5" x14ac:dyDescent="0.2">
      <c r="A96" s="5"/>
      <c r="B96" s="5"/>
      <c r="C96" s="5"/>
      <c r="D96" s="5"/>
      <c r="E96" s="558"/>
    </row>
    <row r="97" spans="1:5" x14ac:dyDescent="0.2">
      <c r="A97" s="5"/>
      <c r="B97" s="5"/>
      <c r="C97" s="5"/>
      <c r="D97" s="5"/>
      <c r="E97" s="558"/>
    </row>
    <row r="98" spans="1:5" x14ac:dyDescent="0.2">
      <c r="D98" s="5"/>
      <c r="E98" s="558"/>
    </row>
    <row r="99" spans="1:5" x14ac:dyDescent="0.2">
      <c r="D99" s="5"/>
      <c r="E99" s="558"/>
    </row>
    <row r="100" spans="1:5" x14ac:dyDescent="0.2">
      <c r="D100" s="5"/>
      <c r="E100" s="558"/>
    </row>
    <row r="101" spans="1:5" x14ac:dyDescent="0.2">
      <c r="D101" s="5"/>
      <c r="E101" s="558"/>
    </row>
    <row r="102" spans="1:5" x14ac:dyDescent="0.2">
      <c r="D102" s="5"/>
      <c r="E102" s="558"/>
    </row>
    <row r="103" spans="1:5" x14ac:dyDescent="0.2">
      <c r="D103" s="5"/>
      <c r="E103" s="558"/>
    </row>
    <row r="104" spans="1:5" x14ac:dyDescent="0.2">
      <c r="D104" s="5"/>
      <c r="E104" s="558"/>
    </row>
    <row r="105" spans="1:5" x14ac:dyDescent="0.2">
      <c r="D105" s="5"/>
      <c r="E105" s="558"/>
    </row>
    <row r="106" spans="1:5" x14ac:dyDescent="0.2">
      <c r="D106" s="5"/>
      <c r="E106" s="558"/>
    </row>
    <row r="107" spans="1:5" x14ac:dyDescent="0.2">
      <c r="D107" s="5"/>
      <c r="E107" s="558"/>
    </row>
    <row r="108" spans="1:5" x14ac:dyDescent="0.2">
      <c r="D108" s="5"/>
      <c r="E108" s="558"/>
    </row>
    <row r="109" spans="1:5" x14ac:dyDescent="0.2">
      <c r="D109" s="5"/>
      <c r="E109" s="558"/>
    </row>
    <row r="110" spans="1:5" x14ac:dyDescent="0.2">
      <c r="D110" s="5"/>
      <c r="E110" s="558"/>
    </row>
    <row r="111" spans="1:5" x14ac:dyDescent="0.2">
      <c r="D111" s="5"/>
      <c r="E111" s="558"/>
    </row>
    <row r="112" spans="1:5" x14ac:dyDescent="0.2">
      <c r="D112" s="5"/>
      <c r="E112" s="558"/>
    </row>
    <row r="113" spans="4:5" x14ac:dyDescent="0.2">
      <c r="D113" s="5"/>
      <c r="E113" s="558"/>
    </row>
    <row r="114" spans="4:5" x14ac:dyDescent="0.2">
      <c r="D114" s="5"/>
      <c r="E114" s="558"/>
    </row>
    <row r="115" spans="4:5" x14ac:dyDescent="0.2">
      <c r="D115" s="5"/>
      <c r="E115" s="558"/>
    </row>
    <row r="116" spans="4:5" x14ac:dyDescent="0.2">
      <c r="D116" s="5"/>
      <c r="E116" s="558"/>
    </row>
    <row r="117" spans="4:5" x14ac:dyDescent="0.2">
      <c r="D117" s="5"/>
      <c r="E117" s="558"/>
    </row>
    <row r="118" spans="4:5" x14ac:dyDescent="0.2">
      <c r="D118" s="5"/>
      <c r="E118" s="558"/>
    </row>
    <row r="119" spans="4:5" x14ac:dyDescent="0.2">
      <c r="D119" s="5"/>
      <c r="E119" s="558"/>
    </row>
    <row r="120" spans="4:5" x14ac:dyDescent="0.2">
      <c r="D120" s="5"/>
      <c r="E120" s="558"/>
    </row>
    <row r="121" spans="4:5" x14ac:dyDescent="0.2">
      <c r="D121" s="5"/>
      <c r="E121" s="558"/>
    </row>
    <row r="122" spans="4:5" x14ac:dyDescent="0.2">
      <c r="D122" s="5"/>
      <c r="E122" s="558"/>
    </row>
    <row r="123" spans="4:5" x14ac:dyDescent="0.2">
      <c r="D123" s="5"/>
      <c r="E123" s="558"/>
    </row>
    <row r="124" spans="4:5" x14ac:dyDescent="0.2">
      <c r="D124" s="5"/>
      <c r="E124" s="558"/>
    </row>
    <row r="125" spans="4:5" x14ac:dyDescent="0.2">
      <c r="D125" s="5"/>
      <c r="E125" s="558"/>
    </row>
    <row r="126" spans="4:5" x14ac:dyDescent="0.2">
      <c r="D126" s="5"/>
      <c r="E126" s="558"/>
    </row>
    <row r="127" spans="4:5" x14ac:dyDescent="0.2">
      <c r="D127" s="5"/>
      <c r="E127" s="558"/>
    </row>
    <row r="128" spans="4:5" x14ac:dyDescent="0.2">
      <c r="D128" s="5"/>
      <c r="E128" s="558"/>
    </row>
    <row r="129" spans="4:5" x14ac:dyDescent="0.2">
      <c r="D129" s="5"/>
      <c r="E129" s="558"/>
    </row>
    <row r="130" spans="4:5" x14ac:dyDescent="0.2">
      <c r="D130" s="5"/>
      <c r="E130" s="558"/>
    </row>
    <row r="131" spans="4:5" x14ac:dyDescent="0.2">
      <c r="D131" s="5"/>
      <c r="E131" s="558"/>
    </row>
    <row r="132" spans="4:5" x14ac:dyDescent="0.2">
      <c r="D132" s="5"/>
      <c r="E132" s="558"/>
    </row>
    <row r="133" spans="4:5" x14ac:dyDescent="0.2">
      <c r="D133" s="5"/>
      <c r="E133" s="558"/>
    </row>
    <row r="134" spans="4:5" x14ac:dyDescent="0.2">
      <c r="D134" s="5"/>
      <c r="E134" s="558"/>
    </row>
    <row r="135" spans="4:5" x14ac:dyDescent="0.2">
      <c r="D135" s="5"/>
      <c r="E135" s="558"/>
    </row>
    <row r="136" spans="4:5" x14ac:dyDescent="0.2">
      <c r="D136" s="5"/>
      <c r="E136" s="558"/>
    </row>
    <row r="137" spans="4:5" x14ac:dyDescent="0.2">
      <c r="D137" s="5"/>
      <c r="E137" s="558"/>
    </row>
    <row r="138" spans="4:5" x14ac:dyDescent="0.2">
      <c r="D138" s="5"/>
      <c r="E138" s="558"/>
    </row>
    <row r="139" spans="4:5" x14ac:dyDescent="0.2">
      <c r="D139" s="5"/>
      <c r="E139" s="558"/>
    </row>
    <row r="140" spans="4:5" x14ac:dyDescent="0.2">
      <c r="D140" s="5"/>
      <c r="E140" s="558"/>
    </row>
    <row r="141" spans="4:5" x14ac:dyDescent="0.2">
      <c r="D141" s="5"/>
      <c r="E141" s="558"/>
    </row>
    <row r="142" spans="4:5" x14ac:dyDescent="0.2">
      <c r="D142" s="5"/>
      <c r="E142" s="558"/>
    </row>
    <row r="143" spans="4:5" x14ac:dyDescent="0.2">
      <c r="D143" s="5"/>
      <c r="E143" s="558"/>
    </row>
    <row r="144" spans="4:5" x14ac:dyDescent="0.2">
      <c r="D144" s="5"/>
      <c r="E144" s="558"/>
    </row>
    <row r="145" spans="4:5" x14ac:dyDescent="0.2">
      <c r="D145" s="5"/>
      <c r="E145" s="558"/>
    </row>
    <row r="146" spans="4:5" x14ac:dyDescent="0.2">
      <c r="D146" s="5"/>
      <c r="E146" s="558"/>
    </row>
    <row r="147" spans="4:5" x14ac:dyDescent="0.2">
      <c r="D147" s="5"/>
      <c r="E147" s="558"/>
    </row>
    <row r="148" spans="4:5" x14ac:dyDescent="0.2">
      <c r="D148" s="5"/>
      <c r="E148" s="558"/>
    </row>
    <row r="149" spans="4:5" x14ac:dyDescent="0.2">
      <c r="D149" s="5"/>
      <c r="E149" s="558"/>
    </row>
    <row r="150" spans="4:5" x14ac:dyDescent="0.2">
      <c r="D150" s="5"/>
      <c r="E150" s="558"/>
    </row>
    <row r="151" spans="4:5" x14ac:dyDescent="0.2">
      <c r="D151" s="5"/>
      <c r="E151" s="558"/>
    </row>
    <row r="152" spans="4:5" x14ac:dyDescent="0.2">
      <c r="D152" s="5"/>
      <c r="E152" s="558"/>
    </row>
    <row r="153" spans="4:5" x14ac:dyDescent="0.2">
      <c r="D153" s="5"/>
      <c r="E153" s="558"/>
    </row>
    <row r="154" spans="4:5" x14ac:dyDescent="0.2">
      <c r="D154" s="5"/>
      <c r="E154" s="558"/>
    </row>
    <row r="155" spans="4:5" x14ac:dyDescent="0.2">
      <c r="D155" s="5"/>
      <c r="E155" s="558"/>
    </row>
    <row r="156" spans="4:5" x14ac:dyDescent="0.2">
      <c r="D156" s="5"/>
      <c r="E156" s="558"/>
    </row>
    <row r="157" spans="4:5" x14ac:dyDescent="0.2">
      <c r="D157" s="5"/>
      <c r="E157" s="558"/>
    </row>
    <row r="158" spans="4:5" x14ac:dyDescent="0.2">
      <c r="D158" s="5"/>
      <c r="E158" s="558"/>
    </row>
    <row r="159" spans="4:5" x14ac:dyDescent="0.2">
      <c r="D159" s="5"/>
      <c r="E159" s="558"/>
    </row>
    <row r="160" spans="4:5" x14ac:dyDescent="0.2">
      <c r="D160" s="5"/>
      <c r="E160" s="558"/>
    </row>
    <row r="161" spans="4:5" x14ac:dyDescent="0.2">
      <c r="D161" s="5"/>
      <c r="E161" s="558"/>
    </row>
    <row r="162" spans="4:5" x14ac:dyDescent="0.2">
      <c r="D162" s="5"/>
      <c r="E162" s="558"/>
    </row>
    <row r="163" spans="4:5" x14ac:dyDescent="0.2">
      <c r="D163" s="5"/>
      <c r="E163" s="558"/>
    </row>
    <row r="164" spans="4:5" x14ac:dyDescent="0.2">
      <c r="D164" s="5"/>
      <c r="E164" s="558"/>
    </row>
    <row r="165" spans="4:5" x14ac:dyDescent="0.2">
      <c r="D165" s="5"/>
      <c r="E165" s="558"/>
    </row>
    <row r="166" spans="4:5" x14ac:dyDescent="0.2">
      <c r="D166" s="5"/>
      <c r="E166" s="558"/>
    </row>
    <row r="167" spans="4:5" x14ac:dyDescent="0.2">
      <c r="D167" s="5"/>
      <c r="E167" s="558"/>
    </row>
    <row r="168" spans="4:5" x14ac:dyDescent="0.2">
      <c r="D168" s="5"/>
      <c r="E168" s="558"/>
    </row>
    <row r="169" spans="4:5" x14ac:dyDescent="0.2">
      <c r="D169" s="5"/>
      <c r="E169" s="558"/>
    </row>
    <row r="170" spans="4:5" x14ac:dyDescent="0.2">
      <c r="D170" s="5"/>
      <c r="E170" s="558"/>
    </row>
    <row r="171" spans="4:5" x14ac:dyDescent="0.2">
      <c r="D171" s="5"/>
      <c r="E171" s="558"/>
    </row>
    <row r="172" spans="4:5" x14ac:dyDescent="0.2">
      <c r="D172" s="5"/>
      <c r="E172" s="558"/>
    </row>
    <row r="173" spans="4:5" x14ac:dyDescent="0.2">
      <c r="D173" s="5"/>
      <c r="E173" s="558"/>
    </row>
    <row r="174" spans="4:5" x14ac:dyDescent="0.2">
      <c r="D174" s="5"/>
      <c r="E174" s="558"/>
    </row>
    <row r="175" spans="4:5" x14ac:dyDescent="0.2">
      <c r="D175" s="5"/>
      <c r="E175" s="558"/>
    </row>
    <row r="176" spans="4:5" x14ac:dyDescent="0.2">
      <c r="D176" s="5"/>
      <c r="E176" s="558"/>
    </row>
    <row r="177" spans="4:5" x14ac:dyDescent="0.2">
      <c r="D177" s="5"/>
      <c r="E177" s="558"/>
    </row>
    <row r="178" spans="4:5" x14ac:dyDescent="0.2">
      <c r="D178" s="5"/>
      <c r="E178" s="558"/>
    </row>
    <row r="179" spans="4:5" x14ac:dyDescent="0.2">
      <c r="D179" s="5"/>
      <c r="E179" s="558"/>
    </row>
    <row r="180" spans="4:5" x14ac:dyDescent="0.2">
      <c r="D180" s="5"/>
      <c r="E180" s="558"/>
    </row>
    <row r="181" spans="4:5" x14ac:dyDescent="0.2">
      <c r="D181" s="5"/>
      <c r="E181" s="558"/>
    </row>
    <row r="182" spans="4:5" x14ac:dyDescent="0.2">
      <c r="D182" s="5"/>
      <c r="E182" s="558"/>
    </row>
    <row r="183" spans="4:5" x14ac:dyDescent="0.2">
      <c r="D183" s="5"/>
      <c r="E183" s="558"/>
    </row>
    <row r="184" spans="4:5" x14ac:dyDescent="0.2">
      <c r="D184" s="5"/>
      <c r="E184" s="558"/>
    </row>
    <row r="185" spans="4:5" x14ac:dyDescent="0.2">
      <c r="D185" s="5"/>
      <c r="E185" s="558"/>
    </row>
    <row r="186" spans="4:5" x14ac:dyDescent="0.2">
      <c r="D186" s="5"/>
      <c r="E186" s="558"/>
    </row>
    <row r="187" spans="4:5" x14ac:dyDescent="0.2">
      <c r="D187" s="5"/>
      <c r="E187" s="558"/>
    </row>
    <row r="188" spans="4:5" x14ac:dyDescent="0.2">
      <c r="D188" s="5"/>
      <c r="E188" s="558"/>
    </row>
    <row r="189" spans="4:5" x14ac:dyDescent="0.2">
      <c r="D189" s="5"/>
      <c r="E189" s="558"/>
    </row>
    <row r="190" spans="4:5" x14ac:dyDescent="0.2">
      <c r="D190" s="5"/>
      <c r="E190" s="558"/>
    </row>
    <row r="191" spans="4:5" x14ac:dyDescent="0.2">
      <c r="D191" s="5"/>
      <c r="E191" s="558"/>
    </row>
    <row r="192" spans="4:5" x14ac:dyDescent="0.2">
      <c r="D192" s="5"/>
      <c r="E192" s="558"/>
    </row>
    <row r="193" spans="4:5" x14ac:dyDescent="0.2">
      <c r="D193" s="5"/>
      <c r="E193" s="558"/>
    </row>
    <row r="194" spans="4:5" x14ac:dyDescent="0.2">
      <c r="D194" s="5"/>
      <c r="E194" s="558"/>
    </row>
    <row r="195" spans="4:5" x14ac:dyDescent="0.2">
      <c r="D195" s="5"/>
      <c r="E195" s="558"/>
    </row>
    <row r="196" spans="4:5" x14ac:dyDescent="0.2">
      <c r="D196" s="5"/>
      <c r="E196" s="558"/>
    </row>
    <row r="197" spans="4:5" x14ac:dyDescent="0.2">
      <c r="D197" s="5"/>
      <c r="E197" s="558"/>
    </row>
    <row r="198" spans="4:5" x14ac:dyDescent="0.2">
      <c r="D198" s="5"/>
      <c r="E198" s="558"/>
    </row>
    <row r="199" spans="4:5" x14ac:dyDescent="0.2">
      <c r="D199" s="5"/>
      <c r="E199" s="558"/>
    </row>
    <row r="200" spans="4:5" x14ac:dyDescent="0.2">
      <c r="D200" s="5"/>
      <c r="E200" s="558"/>
    </row>
    <row r="201" spans="4:5" x14ac:dyDescent="0.2">
      <c r="D201" s="5"/>
      <c r="E201" s="558"/>
    </row>
    <row r="202" spans="4:5" x14ac:dyDescent="0.2">
      <c r="D202" s="5"/>
      <c r="E202" s="558"/>
    </row>
    <row r="203" spans="4:5" x14ac:dyDescent="0.2">
      <c r="D203" s="5"/>
      <c r="E203" s="558"/>
    </row>
    <row r="204" spans="4:5" x14ac:dyDescent="0.2">
      <c r="D204" s="5"/>
      <c r="E204" s="558"/>
    </row>
    <row r="205" spans="4:5" x14ac:dyDescent="0.2">
      <c r="D205" s="5"/>
      <c r="E205" s="558"/>
    </row>
    <row r="206" spans="4:5" x14ac:dyDescent="0.2">
      <c r="D206" s="5"/>
      <c r="E206" s="558"/>
    </row>
    <row r="207" spans="4:5" x14ac:dyDescent="0.2">
      <c r="D207" s="5"/>
      <c r="E207" s="558"/>
    </row>
    <row r="208" spans="4:5" x14ac:dyDescent="0.2">
      <c r="D208" s="5"/>
      <c r="E208" s="558"/>
    </row>
    <row r="209" spans="4:5" x14ac:dyDescent="0.2">
      <c r="D209" s="5"/>
      <c r="E209" s="558"/>
    </row>
    <row r="210" spans="4:5" x14ac:dyDescent="0.2">
      <c r="D210" s="5"/>
      <c r="E210" s="558"/>
    </row>
    <row r="211" spans="4:5" x14ac:dyDescent="0.2">
      <c r="D211" s="5"/>
      <c r="E211" s="558"/>
    </row>
    <row r="212" spans="4:5" x14ac:dyDescent="0.2">
      <c r="D212" s="5"/>
      <c r="E212" s="558"/>
    </row>
    <row r="213" spans="4:5" x14ac:dyDescent="0.2">
      <c r="D213" s="5"/>
      <c r="E213" s="558"/>
    </row>
    <row r="214" spans="4:5" x14ac:dyDescent="0.2">
      <c r="D214" s="5"/>
      <c r="E214" s="558"/>
    </row>
    <row r="215" spans="4:5" x14ac:dyDescent="0.2">
      <c r="D215" s="5"/>
      <c r="E215" s="558"/>
    </row>
    <row r="216" spans="4:5" x14ac:dyDescent="0.2">
      <c r="D216" s="5"/>
      <c r="E216" s="558"/>
    </row>
    <row r="217" spans="4:5" x14ac:dyDescent="0.2">
      <c r="D217" s="5"/>
      <c r="E217" s="558"/>
    </row>
    <row r="218" spans="4:5" x14ac:dyDescent="0.2">
      <c r="D218" s="5"/>
      <c r="E218" s="558"/>
    </row>
    <row r="219" spans="4:5" x14ac:dyDescent="0.2">
      <c r="D219" s="5"/>
      <c r="E219" s="558"/>
    </row>
    <row r="220" spans="4:5" x14ac:dyDescent="0.2">
      <c r="D220" s="5"/>
      <c r="E220" s="558"/>
    </row>
    <row r="221" spans="4:5" x14ac:dyDescent="0.2">
      <c r="D221" s="5"/>
      <c r="E221" s="558"/>
    </row>
    <row r="222" spans="4:5" x14ac:dyDescent="0.2">
      <c r="D222" s="5"/>
      <c r="E222" s="558"/>
    </row>
    <row r="223" spans="4:5" x14ac:dyDescent="0.2">
      <c r="D223" s="5"/>
      <c r="E223" s="558"/>
    </row>
    <row r="224" spans="4:5" x14ac:dyDescent="0.2">
      <c r="D224" s="5"/>
      <c r="E224" s="558"/>
    </row>
    <row r="225" spans="4:5" x14ac:dyDescent="0.2">
      <c r="D225" s="5"/>
      <c r="E225" s="558"/>
    </row>
    <row r="226" spans="4:5" x14ac:dyDescent="0.2">
      <c r="D226" s="5"/>
      <c r="E226" s="558"/>
    </row>
    <row r="227" spans="4:5" x14ac:dyDescent="0.2">
      <c r="D227" s="5"/>
      <c r="E227" s="558"/>
    </row>
    <row r="228" spans="4:5" x14ac:dyDescent="0.2">
      <c r="D228" s="5"/>
      <c r="E228" s="558"/>
    </row>
    <row r="229" spans="4:5" x14ac:dyDescent="0.2">
      <c r="D229" s="5"/>
      <c r="E229" s="558"/>
    </row>
    <row r="230" spans="4:5" x14ac:dyDescent="0.2">
      <c r="D230" s="5"/>
      <c r="E230" s="558"/>
    </row>
    <row r="231" spans="4:5" x14ac:dyDescent="0.2">
      <c r="D231" s="5"/>
      <c r="E231" s="558"/>
    </row>
    <row r="232" spans="4:5" x14ac:dyDescent="0.2">
      <c r="D232" s="5"/>
      <c r="E232" s="558"/>
    </row>
    <row r="233" spans="4:5" x14ac:dyDescent="0.2">
      <c r="D233" s="5"/>
      <c r="E233" s="558"/>
    </row>
    <row r="234" spans="4:5" x14ac:dyDescent="0.2">
      <c r="D234" s="5"/>
      <c r="E234" s="558"/>
    </row>
    <row r="235" spans="4:5" x14ac:dyDescent="0.2">
      <c r="D235" s="5"/>
      <c r="E235" s="558"/>
    </row>
    <row r="236" spans="4:5" x14ac:dyDescent="0.2">
      <c r="D236" s="5"/>
      <c r="E236" s="558"/>
    </row>
    <row r="237" spans="4:5" x14ac:dyDescent="0.2">
      <c r="D237" s="5"/>
      <c r="E237" s="558"/>
    </row>
    <row r="238" spans="4:5" x14ac:dyDescent="0.2">
      <c r="D238" s="5"/>
      <c r="E238" s="558"/>
    </row>
    <row r="239" spans="4:5" x14ac:dyDescent="0.2">
      <c r="D239" s="5"/>
      <c r="E239" s="558"/>
    </row>
    <row r="240" spans="4:5" x14ac:dyDescent="0.2">
      <c r="D240" s="5"/>
      <c r="E240" s="558"/>
    </row>
    <row r="241" spans="4:5" x14ac:dyDescent="0.2">
      <c r="D241" s="5"/>
      <c r="E241" s="558"/>
    </row>
    <row r="242" spans="4:5" x14ac:dyDescent="0.2">
      <c r="D242" s="5"/>
      <c r="E242" s="558"/>
    </row>
    <row r="243" spans="4:5" x14ac:dyDescent="0.2">
      <c r="D243" s="5"/>
      <c r="E243" s="558"/>
    </row>
    <row r="244" spans="4:5" x14ac:dyDescent="0.2">
      <c r="D244" s="5"/>
      <c r="E244" s="558"/>
    </row>
    <row r="245" spans="4:5" x14ac:dyDescent="0.2">
      <c r="D245" s="5"/>
      <c r="E245" s="558"/>
    </row>
    <row r="246" spans="4:5" x14ac:dyDescent="0.2">
      <c r="D246" s="5"/>
      <c r="E246" s="558"/>
    </row>
    <row r="247" spans="4:5" x14ac:dyDescent="0.2">
      <c r="D247" s="5"/>
      <c r="E247" s="558"/>
    </row>
    <row r="248" spans="4:5" x14ac:dyDescent="0.2">
      <c r="D248" s="5"/>
      <c r="E248" s="558"/>
    </row>
    <row r="249" spans="4:5" x14ac:dyDescent="0.2">
      <c r="D249" s="5"/>
      <c r="E249" s="558"/>
    </row>
    <row r="250" spans="4:5" x14ac:dyDescent="0.2">
      <c r="D250" s="5"/>
      <c r="E250" s="558"/>
    </row>
    <row r="251" spans="4:5" x14ac:dyDescent="0.2">
      <c r="D251" s="5"/>
      <c r="E251" s="558"/>
    </row>
    <row r="252" spans="4:5" x14ac:dyDescent="0.2">
      <c r="D252" s="5"/>
      <c r="E252" s="558"/>
    </row>
    <row r="253" spans="4:5" x14ac:dyDescent="0.2">
      <c r="D253" s="5"/>
      <c r="E253" s="558"/>
    </row>
    <row r="254" spans="4:5" x14ac:dyDescent="0.2">
      <c r="D254" s="5"/>
      <c r="E254" s="558"/>
    </row>
    <row r="255" spans="4:5" x14ac:dyDescent="0.2">
      <c r="D255" s="5"/>
      <c r="E255" s="558"/>
    </row>
    <row r="256" spans="4:5" x14ac:dyDescent="0.2">
      <c r="D256" s="5"/>
      <c r="E256" s="558"/>
    </row>
    <row r="257" spans="4:5" x14ac:dyDescent="0.2">
      <c r="D257" s="5"/>
      <c r="E257" s="558"/>
    </row>
    <row r="258" spans="4:5" x14ac:dyDescent="0.2">
      <c r="D258" s="5"/>
      <c r="E258" s="558"/>
    </row>
    <row r="259" spans="4:5" x14ac:dyDescent="0.2">
      <c r="D259" s="5"/>
      <c r="E259" s="558"/>
    </row>
    <row r="260" spans="4:5" x14ac:dyDescent="0.2">
      <c r="D260" s="5"/>
      <c r="E260" s="558"/>
    </row>
    <row r="261" spans="4:5" x14ac:dyDescent="0.2">
      <c r="D261" s="5"/>
      <c r="E261" s="558"/>
    </row>
    <row r="262" spans="4:5" x14ac:dyDescent="0.2">
      <c r="D262" s="5"/>
      <c r="E262" s="558"/>
    </row>
    <row r="263" spans="4:5" x14ac:dyDescent="0.2">
      <c r="D263" s="5"/>
      <c r="E263" s="558"/>
    </row>
    <row r="264" spans="4:5" x14ac:dyDescent="0.2">
      <c r="D264" s="5"/>
      <c r="E264" s="558"/>
    </row>
    <row r="265" spans="4:5" x14ac:dyDescent="0.2">
      <c r="D265" s="5"/>
      <c r="E265" s="558"/>
    </row>
    <row r="266" spans="4:5" x14ac:dyDescent="0.2">
      <c r="D266" s="5"/>
      <c r="E266" s="558"/>
    </row>
    <row r="267" spans="4:5" x14ac:dyDescent="0.2">
      <c r="D267" s="5"/>
      <c r="E267" s="558"/>
    </row>
    <row r="268" spans="4:5" x14ac:dyDescent="0.2">
      <c r="D268" s="5"/>
      <c r="E268" s="558"/>
    </row>
    <row r="269" spans="4:5" x14ac:dyDescent="0.2">
      <c r="D269" s="5"/>
      <c r="E269" s="558"/>
    </row>
    <row r="270" spans="4:5" x14ac:dyDescent="0.2">
      <c r="D270" s="5"/>
      <c r="E270" s="558"/>
    </row>
    <row r="271" spans="4:5" x14ac:dyDescent="0.2">
      <c r="D271" s="5"/>
      <c r="E271" s="558"/>
    </row>
    <row r="272" spans="4:5" x14ac:dyDescent="0.2">
      <c r="D272" s="5"/>
      <c r="E272" s="558"/>
    </row>
    <row r="273" spans="4:5" x14ac:dyDescent="0.2">
      <c r="D273" s="5"/>
      <c r="E273" s="558"/>
    </row>
    <row r="274" spans="4:5" x14ac:dyDescent="0.2">
      <c r="D274" s="5"/>
      <c r="E274" s="558"/>
    </row>
    <row r="275" spans="4:5" x14ac:dyDescent="0.2">
      <c r="D275" s="5"/>
      <c r="E275" s="558"/>
    </row>
    <row r="276" spans="4:5" x14ac:dyDescent="0.2">
      <c r="D276" s="5"/>
      <c r="E276" s="558"/>
    </row>
    <row r="277" spans="4:5" x14ac:dyDescent="0.2">
      <c r="D277" s="5"/>
      <c r="E277" s="558"/>
    </row>
    <row r="278" spans="4:5" x14ac:dyDescent="0.2">
      <c r="D278" s="5"/>
      <c r="E278" s="558"/>
    </row>
    <row r="279" spans="4:5" x14ac:dyDescent="0.2">
      <c r="D279" s="5"/>
      <c r="E279" s="558"/>
    </row>
    <row r="280" spans="4:5" x14ac:dyDescent="0.2">
      <c r="D280" s="5"/>
      <c r="E280" s="558"/>
    </row>
    <row r="281" spans="4:5" x14ac:dyDescent="0.2">
      <c r="D281" s="5"/>
      <c r="E281" s="558"/>
    </row>
    <row r="282" spans="4:5" x14ac:dyDescent="0.2">
      <c r="D282" s="5"/>
      <c r="E282" s="558"/>
    </row>
    <row r="283" spans="4:5" x14ac:dyDescent="0.2">
      <c r="D283" s="5"/>
      <c r="E283" s="558"/>
    </row>
    <row r="284" spans="4:5" x14ac:dyDescent="0.2">
      <c r="D284" s="5"/>
      <c r="E284" s="558"/>
    </row>
    <row r="285" spans="4:5" x14ac:dyDescent="0.2">
      <c r="D285" s="5"/>
      <c r="E285" s="558"/>
    </row>
    <row r="286" spans="4:5" x14ac:dyDescent="0.2">
      <c r="D286" s="5"/>
      <c r="E286" s="558"/>
    </row>
    <row r="287" spans="4:5" x14ac:dyDescent="0.2">
      <c r="D287" s="5"/>
      <c r="E287" s="558"/>
    </row>
    <row r="288" spans="4:5" x14ac:dyDescent="0.2">
      <c r="D288" s="5"/>
      <c r="E288" s="558"/>
    </row>
    <row r="289" spans="4:5" x14ac:dyDescent="0.2">
      <c r="D289" s="5"/>
      <c r="E289" s="558"/>
    </row>
    <row r="290" spans="4:5" x14ac:dyDescent="0.2">
      <c r="D290" s="5"/>
      <c r="E290" s="558"/>
    </row>
    <row r="291" spans="4:5" x14ac:dyDescent="0.2">
      <c r="D291" s="5"/>
      <c r="E291" s="558"/>
    </row>
    <row r="292" spans="4:5" x14ac:dyDescent="0.2">
      <c r="D292" s="5"/>
      <c r="E292" s="558"/>
    </row>
    <row r="293" spans="4:5" x14ac:dyDescent="0.2">
      <c r="D293" s="5"/>
      <c r="E293" s="558"/>
    </row>
    <row r="294" spans="4:5" x14ac:dyDescent="0.2">
      <c r="D294" s="5"/>
      <c r="E294" s="558"/>
    </row>
    <row r="295" spans="4:5" x14ac:dyDescent="0.2">
      <c r="D295" s="5"/>
      <c r="E295" s="558"/>
    </row>
    <row r="296" spans="4:5" x14ac:dyDescent="0.2">
      <c r="D296" s="5"/>
      <c r="E296" s="558"/>
    </row>
    <row r="297" spans="4:5" x14ac:dyDescent="0.2">
      <c r="D297" s="5"/>
      <c r="E297" s="558"/>
    </row>
    <row r="298" spans="4:5" x14ac:dyDescent="0.2">
      <c r="D298" s="5"/>
      <c r="E298" s="558"/>
    </row>
    <row r="299" spans="4:5" x14ac:dyDescent="0.2">
      <c r="D299" s="5"/>
      <c r="E299" s="558"/>
    </row>
    <row r="300" spans="4:5" x14ac:dyDescent="0.2">
      <c r="D300" s="5"/>
      <c r="E300" s="558"/>
    </row>
    <row r="301" spans="4:5" x14ac:dyDescent="0.2">
      <c r="D301" s="5"/>
      <c r="E301" s="558"/>
    </row>
    <row r="302" spans="4:5" x14ac:dyDescent="0.2">
      <c r="D302" s="5"/>
      <c r="E302" s="558"/>
    </row>
    <row r="303" spans="4:5" x14ac:dyDescent="0.2">
      <c r="D303" s="5"/>
      <c r="E303" s="558"/>
    </row>
    <row r="304" spans="4:5" x14ac:dyDescent="0.2">
      <c r="D304" s="5"/>
      <c r="E304" s="558"/>
    </row>
    <row r="305" spans="4:5" x14ac:dyDescent="0.2">
      <c r="D305" s="5"/>
      <c r="E305" s="558"/>
    </row>
    <row r="306" spans="4:5" x14ac:dyDescent="0.2">
      <c r="D306" s="5"/>
      <c r="E306" s="558"/>
    </row>
    <row r="307" spans="4:5" x14ac:dyDescent="0.2">
      <c r="D307" s="5"/>
      <c r="E307" s="558"/>
    </row>
    <row r="308" spans="4:5" x14ac:dyDescent="0.2">
      <c r="D308" s="5"/>
      <c r="E308" s="558"/>
    </row>
    <row r="309" spans="4:5" x14ac:dyDescent="0.2">
      <c r="D309" s="5"/>
      <c r="E309" s="558"/>
    </row>
    <row r="310" spans="4:5" x14ac:dyDescent="0.2">
      <c r="D310" s="5"/>
      <c r="E310" s="558"/>
    </row>
    <row r="311" spans="4:5" x14ac:dyDescent="0.2">
      <c r="D311" s="5"/>
      <c r="E311" s="558"/>
    </row>
    <row r="312" spans="4:5" x14ac:dyDescent="0.2">
      <c r="D312" s="5"/>
      <c r="E312" s="558"/>
    </row>
    <row r="313" spans="4:5" x14ac:dyDescent="0.2">
      <c r="D313" s="5"/>
      <c r="E313" s="558"/>
    </row>
    <row r="314" spans="4:5" x14ac:dyDescent="0.2">
      <c r="D314" s="5"/>
      <c r="E314" s="558"/>
    </row>
    <row r="315" spans="4:5" x14ac:dyDescent="0.2">
      <c r="D315" s="5"/>
      <c r="E315" s="558"/>
    </row>
    <row r="316" spans="4:5" x14ac:dyDescent="0.2">
      <c r="D316" s="5"/>
      <c r="E316" s="558"/>
    </row>
    <row r="317" spans="4:5" x14ac:dyDescent="0.2">
      <c r="D317" s="5"/>
      <c r="E317" s="558"/>
    </row>
    <row r="318" spans="4:5" x14ac:dyDescent="0.2">
      <c r="D318" s="5"/>
      <c r="E318" s="558"/>
    </row>
    <row r="319" spans="4:5" x14ac:dyDescent="0.2">
      <c r="D319" s="5"/>
      <c r="E319" s="558"/>
    </row>
    <row r="320" spans="4:5" x14ac:dyDescent="0.2">
      <c r="D320" s="5"/>
      <c r="E320" s="558"/>
    </row>
    <row r="321" spans="4:5" x14ac:dyDescent="0.2">
      <c r="D321" s="5"/>
      <c r="E321" s="558"/>
    </row>
    <row r="322" spans="4:5" x14ac:dyDescent="0.2">
      <c r="D322" s="5"/>
      <c r="E322" s="558"/>
    </row>
    <row r="323" spans="4:5" x14ac:dyDescent="0.2">
      <c r="D323" s="5"/>
      <c r="E323" s="558"/>
    </row>
    <row r="324" spans="4:5" x14ac:dyDescent="0.2">
      <c r="D324" s="5"/>
      <c r="E324" s="558"/>
    </row>
    <row r="325" spans="4:5" x14ac:dyDescent="0.2">
      <c r="D325" s="5"/>
      <c r="E325" s="558"/>
    </row>
    <row r="326" spans="4:5" x14ac:dyDescent="0.2">
      <c r="D326" s="5"/>
      <c r="E326" s="558"/>
    </row>
    <row r="327" spans="4:5" x14ac:dyDescent="0.2">
      <c r="D327" s="5"/>
      <c r="E327" s="558"/>
    </row>
    <row r="328" spans="4:5" x14ac:dyDescent="0.2">
      <c r="D328" s="5"/>
      <c r="E328" s="558"/>
    </row>
    <row r="329" spans="4:5" x14ac:dyDescent="0.2">
      <c r="D329" s="5"/>
      <c r="E329" s="558"/>
    </row>
    <row r="330" spans="4:5" x14ac:dyDescent="0.2">
      <c r="D330" s="5"/>
      <c r="E330" s="558"/>
    </row>
    <row r="331" spans="4:5" x14ac:dyDescent="0.2">
      <c r="D331" s="5"/>
      <c r="E331" s="558"/>
    </row>
    <row r="332" spans="4:5" x14ac:dyDescent="0.2">
      <c r="D332" s="5"/>
      <c r="E332" s="558"/>
    </row>
    <row r="333" spans="4:5" x14ac:dyDescent="0.2">
      <c r="D333" s="5"/>
      <c r="E333" s="558"/>
    </row>
    <row r="334" spans="4:5" x14ac:dyDescent="0.2">
      <c r="D334" s="5"/>
      <c r="E334" s="558"/>
    </row>
    <row r="335" spans="4:5" x14ac:dyDescent="0.2">
      <c r="D335" s="5"/>
      <c r="E335" s="558"/>
    </row>
    <row r="336" spans="4:5" x14ac:dyDescent="0.2">
      <c r="D336" s="5"/>
      <c r="E336" s="558"/>
    </row>
    <row r="337" spans="4:5" x14ac:dyDescent="0.2">
      <c r="D337" s="5"/>
      <c r="E337" s="558"/>
    </row>
    <row r="338" spans="4:5" x14ac:dyDescent="0.2">
      <c r="D338" s="5"/>
      <c r="E338" s="558"/>
    </row>
    <row r="339" spans="4:5" x14ac:dyDescent="0.2">
      <c r="D339" s="5"/>
      <c r="E339" s="558"/>
    </row>
    <row r="340" spans="4:5" x14ac:dyDescent="0.2">
      <c r="D340" s="5"/>
      <c r="E340" s="558"/>
    </row>
    <row r="341" spans="4:5" x14ac:dyDescent="0.2">
      <c r="D341" s="5"/>
      <c r="E341" s="558"/>
    </row>
    <row r="342" spans="4:5" x14ac:dyDescent="0.2">
      <c r="D342" s="5"/>
      <c r="E342" s="558"/>
    </row>
    <row r="343" spans="4:5" x14ac:dyDescent="0.2">
      <c r="D343" s="5"/>
      <c r="E343" s="558"/>
    </row>
    <row r="344" spans="4:5" x14ac:dyDescent="0.2">
      <c r="D344" s="5"/>
      <c r="E344" s="558"/>
    </row>
    <row r="345" spans="4:5" x14ac:dyDescent="0.2">
      <c r="D345" s="5"/>
      <c r="E345" s="558"/>
    </row>
    <row r="346" spans="4:5" x14ac:dyDescent="0.2">
      <c r="D346" s="5"/>
      <c r="E346" s="558"/>
    </row>
    <row r="347" spans="4:5" x14ac:dyDescent="0.2">
      <c r="D347" s="5"/>
      <c r="E347" s="558"/>
    </row>
    <row r="348" spans="4:5" x14ac:dyDescent="0.2">
      <c r="D348" s="5"/>
      <c r="E348" s="558"/>
    </row>
    <row r="349" spans="4:5" x14ac:dyDescent="0.2">
      <c r="D349" s="5"/>
      <c r="E349" s="558"/>
    </row>
    <row r="350" spans="4:5" x14ac:dyDescent="0.2">
      <c r="D350" s="5"/>
      <c r="E350" s="558"/>
    </row>
    <row r="351" spans="4:5" x14ac:dyDescent="0.2">
      <c r="D351" s="5"/>
      <c r="E351" s="558"/>
    </row>
    <row r="352" spans="4:5" x14ac:dyDescent="0.2">
      <c r="D352" s="5"/>
      <c r="E352" s="558"/>
    </row>
    <row r="353" spans="4:5" x14ac:dyDescent="0.2">
      <c r="D353" s="5"/>
      <c r="E353" s="558"/>
    </row>
    <row r="354" spans="4:5" x14ac:dyDescent="0.2">
      <c r="D354" s="5"/>
      <c r="E354" s="558"/>
    </row>
    <row r="355" spans="4:5" x14ac:dyDescent="0.2">
      <c r="D355" s="5"/>
      <c r="E355" s="558"/>
    </row>
    <row r="356" spans="4:5" x14ac:dyDescent="0.2">
      <c r="D356" s="5"/>
      <c r="E356" s="558"/>
    </row>
    <row r="357" spans="4:5" x14ac:dyDescent="0.2">
      <c r="D357" s="5"/>
      <c r="E357" s="558"/>
    </row>
    <row r="358" spans="4:5" x14ac:dyDescent="0.2">
      <c r="D358" s="5"/>
      <c r="E358" s="558"/>
    </row>
    <row r="359" spans="4:5" x14ac:dyDescent="0.2">
      <c r="D359" s="5"/>
      <c r="E359" s="558"/>
    </row>
    <row r="360" spans="4:5" x14ac:dyDescent="0.2">
      <c r="D360" s="5"/>
      <c r="E360" s="558"/>
    </row>
    <row r="361" spans="4:5" x14ac:dyDescent="0.2">
      <c r="D361" s="5"/>
      <c r="E361" s="558"/>
    </row>
    <row r="362" spans="4:5" x14ac:dyDescent="0.2">
      <c r="D362" s="5"/>
      <c r="E362" s="558"/>
    </row>
    <row r="363" spans="4:5" x14ac:dyDescent="0.2">
      <c r="D363" s="5"/>
      <c r="E363" s="558"/>
    </row>
    <row r="364" spans="4:5" x14ac:dyDescent="0.2">
      <c r="D364" s="5"/>
      <c r="E364" s="558"/>
    </row>
    <row r="365" spans="4:5" x14ac:dyDescent="0.2">
      <c r="D365" s="5"/>
      <c r="E365" s="558"/>
    </row>
    <row r="366" spans="4:5" x14ac:dyDescent="0.2">
      <c r="D366" s="5"/>
      <c r="E366" s="558"/>
    </row>
    <row r="367" spans="4:5" x14ac:dyDescent="0.2">
      <c r="D367" s="5"/>
      <c r="E367" s="558"/>
    </row>
    <row r="368" spans="4:5" x14ac:dyDescent="0.2">
      <c r="D368" s="5"/>
      <c r="E368" s="558"/>
    </row>
    <row r="369" spans="4:5" x14ac:dyDescent="0.2">
      <c r="D369" s="5"/>
      <c r="E369" s="558"/>
    </row>
    <row r="370" spans="4:5" x14ac:dyDescent="0.2">
      <c r="D370" s="5"/>
      <c r="E370" s="558"/>
    </row>
    <row r="371" spans="4:5" x14ac:dyDescent="0.2">
      <c r="D371" s="5"/>
      <c r="E371" s="558"/>
    </row>
    <row r="372" spans="4:5" x14ac:dyDescent="0.2">
      <c r="D372" s="5"/>
      <c r="E372" s="558"/>
    </row>
    <row r="373" spans="4:5" x14ac:dyDescent="0.2">
      <c r="D373" s="5"/>
      <c r="E373" s="558"/>
    </row>
    <row r="374" spans="4:5" x14ac:dyDescent="0.2">
      <c r="D374" s="5"/>
      <c r="E374" s="558"/>
    </row>
    <row r="375" spans="4:5" x14ac:dyDescent="0.2">
      <c r="D375" s="5"/>
      <c r="E375" s="558"/>
    </row>
    <row r="376" spans="4:5" x14ac:dyDescent="0.2">
      <c r="D376" s="5"/>
      <c r="E376" s="558"/>
    </row>
    <row r="377" spans="4:5" x14ac:dyDescent="0.2">
      <c r="D377" s="5"/>
      <c r="E377" s="558"/>
    </row>
    <row r="378" spans="4:5" x14ac:dyDescent="0.2">
      <c r="D378" s="5"/>
      <c r="E378" s="558"/>
    </row>
    <row r="379" spans="4:5" x14ac:dyDescent="0.2">
      <c r="D379" s="5"/>
      <c r="E379" s="558"/>
    </row>
    <row r="380" spans="4:5" x14ac:dyDescent="0.2">
      <c r="D380" s="5"/>
      <c r="E380" s="558"/>
    </row>
    <row r="381" spans="4:5" x14ac:dyDescent="0.2">
      <c r="D381" s="5"/>
      <c r="E381" s="558"/>
    </row>
    <row r="382" spans="4:5" x14ac:dyDescent="0.2">
      <c r="D382" s="5"/>
      <c r="E382" s="558"/>
    </row>
    <row r="383" spans="4:5" x14ac:dyDescent="0.2">
      <c r="D383" s="5"/>
      <c r="E383" s="558"/>
    </row>
    <row r="384" spans="4:5" x14ac:dyDescent="0.2">
      <c r="D384" s="5"/>
      <c r="E384" s="558"/>
    </row>
    <row r="385" spans="4:5" x14ac:dyDescent="0.2">
      <c r="D385" s="5"/>
      <c r="E385" s="558"/>
    </row>
    <row r="386" spans="4:5" x14ac:dyDescent="0.2">
      <c r="D386" s="5"/>
      <c r="E386" s="558"/>
    </row>
    <row r="387" spans="4:5" x14ac:dyDescent="0.2">
      <c r="D387" s="5"/>
      <c r="E387" s="558"/>
    </row>
    <row r="388" spans="4:5" x14ac:dyDescent="0.2">
      <c r="D388" s="5"/>
      <c r="E388" s="558"/>
    </row>
    <row r="389" spans="4:5" x14ac:dyDescent="0.2">
      <c r="D389" s="5"/>
      <c r="E389" s="558"/>
    </row>
    <row r="390" spans="4:5" x14ac:dyDescent="0.2">
      <c r="D390" s="5"/>
      <c r="E390" s="558"/>
    </row>
    <row r="391" spans="4:5" x14ac:dyDescent="0.2">
      <c r="D391" s="5"/>
      <c r="E391" s="558"/>
    </row>
    <row r="392" spans="4:5" x14ac:dyDescent="0.2">
      <c r="D392" s="5"/>
      <c r="E392" s="558"/>
    </row>
    <row r="393" spans="4:5" x14ac:dyDescent="0.2">
      <c r="D393" s="5"/>
      <c r="E393" s="558"/>
    </row>
    <row r="394" spans="4:5" x14ac:dyDescent="0.2">
      <c r="D394" s="5"/>
      <c r="E394" s="558"/>
    </row>
    <row r="395" spans="4:5" x14ac:dyDescent="0.2">
      <c r="D395" s="5"/>
      <c r="E395" s="558"/>
    </row>
    <row r="396" spans="4:5" x14ac:dyDescent="0.2">
      <c r="D396" s="5"/>
      <c r="E396" s="558"/>
    </row>
    <row r="397" spans="4:5" x14ac:dyDescent="0.2">
      <c r="D397" s="5"/>
      <c r="E397" s="558"/>
    </row>
    <row r="398" spans="4:5" x14ac:dyDescent="0.2">
      <c r="D398" s="5"/>
      <c r="E398" s="558"/>
    </row>
    <row r="399" spans="4:5" x14ac:dyDescent="0.2">
      <c r="D399" s="5"/>
      <c r="E399" s="558"/>
    </row>
    <row r="400" spans="4:5" x14ac:dyDescent="0.2">
      <c r="D400" s="5"/>
      <c r="E400" s="558"/>
    </row>
    <row r="401" spans="4:5" x14ac:dyDescent="0.2">
      <c r="D401" s="5"/>
      <c r="E401" s="558"/>
    </row>
    <row r="402" spans="4:5" x14ac:dyDescent="0.2">
      <c r="D402" s="5"/>
      <c r="E402" s="558"/>
    </row>
    <row r="403" spans="4:5" x14ac:dyDescent="0.2">
      <c r="D403" s="5"/>
      <c r="E403" s="558"/>
    </row>
    <row r="404" spans="4:5" x14ac:dyDescent="0.2">
      <c r="D404" s="5"/>
      <c r="E404" s="558"/>
    </row>
    <row r="405" spans="4:5" x14ac:dyDescent="0.2">
      <c r="D405" s="5"/>
      <c r="E405" s="558"/>
    </row>
    <row r="406" spans="4:5" x14ac:dyDescent="0.2">
      <c r="D406" s="5"/>
      <c r="E406" s="558"/>
    </row>
    <row r="407" spans="4:5" x14ac:dyDescent="0.2">
      <c r="D407" s="5"/>
      <c r="E407" s="558"/>
    </row>
    <row r="408" spans="4:5" x14ac:dyDescent="0.2">
      <c r="D408" s="5"/>
      <c r="E408" s="558"/>
    </row>
    <row r="409" spans="4:5" x14ac:dyDescent="0.2">
      <c r="D409" s="5"/>
      <c r="E409" s="558"/>
    </row>
    <row r="410" spans="4:5" x14ac:dyDescent="0.2">
      <c r="D410" s="5"/>
      <c r="E410" s="558"/>
    </row>
    <row r="411" spans="4:5" x14ac:dyDescent="0.2">
      <c r="D411" s="5"/>
      <c r="E411" s="558"/>
    </row>
    <row r="412" spans="4:5" x14ac:dyDescent="0.2">
      <c r="D412" s="5"/>
      <c r="E412" s="558"/>
    </row>
    <row r="413" spans="4:5" x14ac:dyDescent="0.2">
      <c r="D413" s="5"/>
      <c r="E413" s="558"/>
    </row>
    <row r="414" spans="4:5" x14ac:dyDescent="0.2">
      <c r="D414" s="5"/>
      <c r="E414" s="558"/>
    </row>
    <row r="415" spans="4:5" x14ac:dyDescent="0.2">
      <c r="D415" s="5"/>
      <c r="E415" s="558"/>
    </row>
    <row r="416" spans="4:5" x14ac:dyDescent="0.2">
      <c r="D416" s="5"/>
      <c r="E416" s="558"/>
    </row>
    <row r="417" spans="4:5" x14ac:dyDescent="0.2">
      <c r="D417" s="5"/>
      <c r="E417" s="558"/>
    </row>
    <row r="418" spans="4:5" x14ac:dyDescent="0.2">
      <c r="D418" s="5"/>
      <c r="E418" s="558"/>
    </row>
    <row r="419" spans="4:5" x14ac:dyDescent="0.2">
      <c r="D419" s="5"/>
      <c r="E419" s="558"/>
    </row>
    <row r="420" spans="4:5" x14ac:dyDescent="0.2">
      <c r="D420" s="5"/>
      <c r="E420" s="558"/>
    </row>
    <row r="421" spans="4:5" x14ac:dyDescent="0.2">
      <c r="D421" s="5"/>
      <c r="E421" s="558"/>
    </row>
    <row r="422" spans="4:5" x14ac:dyDescent="0.2">
      <c r="D422" s="5"/>
      <c r="E422" s="558"/>
    </row>
    <row r="423" spans="4:5" x14ac:dyDescent="0.2">
      <c r="D423" s="5"/>
      <c r="E423" s="558"/>
    </row>
    <row r="424" spans="4:5" x14ac:dyDescent="0.2">
      <c r="D424" s="5"/>
      <c r="E424" s="558"/>
    </row>
    <row r="425" spans="4:5" x14ac:dyDescent="0.2">
      <c r="D425" s="5"/>
      <c r="E425" s="558"/>
    </row>
    <row r="426" spans="4:5" x14ac:dyDescent="0.2">
      <c r="D426" s="5"/>
      <c r="E426" s="558"/>
    </row>
    <row r="427" spans="4:5" x14ac:dyDescent="0.2">
      <c r="D427" s="5"/>
      <c r="E427" s="558"/>
    </row>
    <row r="428" spans="4:5" x14ac:dyDescent="0.2">
      <c r="D428" s="5"/>
      <c r="E428" s="558"/>
    </row>
    <row r="429" spans="4:5" x14ac:dyDescent="0.2">
      <c r="D429" s="5"/>
      <c r="E429" s="558"/>
    </row>
    <row r="430" spans="4:5" x14ac:dyDescent="0.2">
      <c r="D430" s="5"/>
      <c r="E430" s="558"/>
    </row>
    <row r="431" spans="4:5" x14ac:dyDescent="0.2">
      <c r="D431" s="5"/>
      <c r="E431" s="558"/>
    </row>
    <row r="432" spans="4:5" x14ac:dyDescent="0.2">
      <c r="D432" s="5"/>
      <c r="E432" s="558"/>
    </row>
    <row r="433" spans="4:5" x14ac:dyDescent="0.2">
      <c r="D433" s="5"/>
      <c r="E433" s="558"/>
    </row>
    <row r="434" spans="4:5" x14ac:dyDescent="0.2">
      <c r="D434" s="5"/>
      <c r="E434" s="558"/>
    </row>
    <row r="435" spans="4:5" x14ac:dyDescent="0.2">
      <c r="D435" s="5"/>
      <c r="E435" s="558"/>
    </row>
    <row r="436" spans="4:5" x14ac:dyDescent="0.2">
      <c r="D436" s="5"/>
      <c r="E436" s="558"/>
    </row>
    <row r="437" spans="4:5" x14ac:dyDescent="0.2">
      <c r="D437" s="5"/>
      <c r="E437" s="558"/>
    </row>
    <row r="438" spans="4:5" x14ac:dyDescent="0.2">
      <c r="D438" s="5"/>
      <c r="E438" s="558"/>
    </row>
    <row r="439" spans="4:5" x14ac:dyDescent="0.2">
      <c r="D439" s="5"/>
      <c r="E439" s="558"/>
    </row>
    <row r="440" spans="4:5" x14ac:dyDescent="0.2">
      <c r="D440" s="5"/>
      <c r="E440" s="558"/>
    </row>
    <row r="441" spans="4:5" x14ac:dyDescent="0.2">
      <c r="D441" s="5"/>
      <c r="E441" s="558"/>
    </row>
    <row r="442" spans="4:5" x14ac:dyDescent="0.2">
      <c r="D442" s="5"/>
      <c r="E442" s="558"/>
    </row>
    <row r="443" spans="4:5" x14ac:dyDescent="0.2">
      <c r="D443" s="5"/>
      <c r="E443" s="558"/>
    </row>
    <row r="444" spans="4:5" x14ac:dyDescent="0.2">
      <c r="D444" s="5"/>
      <c r="E444" s="558"/>
    </row>
    <row r="445" spans="4:5" x14ac:dyDescent="0.2">
      <c r="D445" s="5"/>
      <c r="E445" s="558"/>
    </row>
  </sheetData>
  <mergeCells count="16">
    <mergeCell ref="B52:E52"/>
    <mergeCell ref="A5:B7"/>
    <mergeCell ref="A21:B21"/>
    <mergeCell ref="A33:B33"/>
    <mergeCell ref="B41:E41"/>
    <mergeCell ref="B42:E42"/>
    <mergeCell ref="B46:E46"/>
    <mergeCell ref="B47:E47"/>
    <mergeCell ref="B51:E51"/>
    <mergeCell ref="C37:E37"/>
    <mergeCell ref="C36:E36"/>
    <mergeCell ref="A1:E1"/>
    <mergeCell ref="A3:E3"/>
    <mergeCell ref="A4:E4"/>
    <mergeCell ref="C5:C7"/>
    <mergeCell ref="A2:E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55"/>
  <sheetViews>
    <sheetView topLeftCell="A22" workbookViewId="0">
      <selection activeCell="A50" sqref="A50"/>
    </sheetView>
  </sheetViews>
  <sheetFormatPr defaultRowHeight="12.75" x14ac:dyDescent="0.2"/>
  <cols>
    <col min="1" max="1" width="42.85546875" customWidth="1"/>
    <col min="2" max="2" width="11.28515625" customWidth="1"/>
    <col min="3" max="3" width="22" customWidth="1"/>
    <col min="4" max="4" width="2.5703125" customWidth="1"/>
    <col min="5" max="5" width="25.28515625" style="557" customWidth="1"/>
    <col min="11" max="12" width="10.140625" bestFit="1" customWidth="1"/>
  </cols>
  <sheetData>
    <row r="1" spans="1:12" ht="18.75" customHeight="1" x14ac:dyDescent="0.2">
      <c r="A1" s="785" t="str">
        <f>'MBA BS'!A1:E1</f>
        <v xml:space="preserve">GAYATRI VIDYA PARISHAD COLLEGE FOR DEGREE AND PG COURSES  </v>
      </c>
      <c r="B1" s="749"/>
      <c r="C1" s="749"/>
      <c r="D1" s="749"/>
      <c r="E1" s="749"/>
    </row>
    <row r="2" spans="1:12" ht="15.75" customHeight="1" x14ac:dyDescent="0.2">
      <c r="A2" s="762" t="str">
        <f>'MBA BS'!A2:E2</f>
        <v>M.B.A PROGRAMME</v>
      </c>
      <c r="B2" s="762"/>
      <c r="C2" s="762"/>
      <c r="D2" s="762"/>
      <c r="E2" s="762"/>
      <c r="F2" s="21"/>
    </row>
    <row r="3" spans="1:12" ht="18" customHeight="1" x14ac:dyDescent="0.2">
      <c r="A3" s="791" t="s">
        <v>663</v>
      </c>
      <c r="B3" s="791"/>
      <c r="C3" s="791"/>
      <c r="D3" s="791"/>
      <c r="E3" s="791"/>
    </row>
    <row r="4" spans="1:12" ht="16.5" thickBot="1" x14ac:dyDescent="0.3">
      <c r="A4" s="792"/>
      <c r="B4" s="792"/>
      <c r="C4" s="792"/>
      <c r="D4" s="792"/>
      <c r="E4" s="792"/>
    </row>
    <row r="5" spans="1:12" ht="15.75" x14ac:dyDescent="0.25">
      <c r="A5" s="767" t="s">
        <v>422</v>
      </c>
      <c r="B5" s="780" t="s">
        <v>1</v>
      </c>
      <c r="C5" s="405" t="s">
        <v>423</v>
      </c>
      <c r="D5" s="406"/>
      <c r="E5" s="407" t="s">
        <v>423</v>
      </c>
    </row>
    <row r="6" spans="1:12" ht="15.75" x14ac:dyDescent="0.25">
      <c r="A6" s="768"/>
      <c r="B6" s="781"/>
      <c r="C6" s="408" t="s">
        <v>15</v>
      </c>
      <c r="D6" s="343"/>
      <c r="E6" s="409" t="s">
        <v>15</v>
      </c>
    </row>
    <row r="7" spans="1:12" ht="15.75" x14ac:dyDescent="0.25">
      <c r="A7" s="768"/>
      <c r="B7" s="781"/>
      <c r="C7" s="410" t="str">
        <f>+'MCA Schedules'!D5</f>
        <v>31.03.2025</v>
      </c>
      <c r="D7" s="343"/>
      <c r="E7" s="411" t="str">
        <f>+'MCA Schedules'!F5</f>
        <v>31.03.2024</v>
      </c>
    </row>
    <row r="8" spans="1:12" ht="15.75" x14ac:dyDescent="0.25">
      <c r="A8" s="769"/>
      <c r="B8" s="782"/>
      <c r="C8" s="414" t="s">
        <v>495</v>
      </c>
      <c r="D8" s="334"/>
      <c r="E8" s="415" t="s">
        <v>495</v>
      </c>
    </row>
    <row r="9" spans="1:12" ht="15.75" x14ac:dyDescent="0.25">
      <c r="A9" s="412"/>
      <c r="B9" s="327"/>
      <c r="C9" s="413"/>
      <c r="D9" s="328"/>
      <c r="E9" s="351"/>
    </row>
    <row r="10" spans="1:12" ht="15.75" x14ac:dyDescent="0.25">
      <c r="A10" s="396" t="s">
        <v>8</v>
      </c>
      <c r="B10" s="178"/>
      <c r="C10" s="397"/>
      <c r="D10" s="185"/>
      <c r="E10" s="398"/>
    </row>
    <row r="11" spans="1:12" ht="15.75" x14ac:dyDescent="0.25">
      <c r="A11" s="399" t="s">
        <v>446</v>
      </c>
      <c r="B11" s="241">
        <v>10</v>
      </c>
      <c r="C11" s="400">
        <f>'MBA Schedules'!D77</f>
        <v>39837000</v>
      </c>
      <c r="D11" s="185"/>
      <c r="E11" s="561">
        <f>'MBA Schedules'!F77</f>
        <v>41987695</v>
      </c>
      <c r="G11">
        <v>9960100</v>
      </c>
      <c r="I11">
        <v>10902100</v>
      </c>
      <c r="K11" s="130">
        <f>C11+G11</f>
        <v>49797100</v>
      </c>
      <c r="L11" s="130">
        <f>+E11+I11</f>
        <v>52889795</v>
      </c>
    </row>
    <row r="12" spans="1:12" ht="15.75" x14ac:dyDescent="0.25">
      <c r="A12" s="399"/>
      <c r="B12" s="241"/>
      <c r="C12" s="400"/>
      <c r="D12" s="185"/>
      <c r="E12" s="562"/>
      <c r="K12" s="130">
        <f t="shared" ref="K12:K35" si="0">C12+G12</f>
        <v>0</v>
      </c>
      <c r="L12" s="130">
        <f t="shared" ref="L12:L35" si="1">+E12+I12</f>
        <v>0</v>
      </c>
    </row>
    <row r="13" spans="1:12" ht="15.75" x14ac:dyDescent="0.25">
      <c r="A13" s="399" t="s">
        <v>605</v>
      </c>
      <c r="B13" s="241">
        <v>11</v>
      </c>
      <c r="C13" s="400">
        <f>'MBA Schedules'!D80</f>
        <v>383724</v>
      </c>
      <c r="D13" s="185"/>
      <c r="E13" s="561">
        <f>'MBA Schedules'!F80</f>
        <v>301017</v>
      </c>
      <c r="G13">
        <v>554995</v>
      </c>
      <c r="I13">
        <v>486519</v>
      </c>
      <c r="K13" s="130">
        <f t="shared" si="0"/>
        <v>938719</v>
      </c>
      <c r="L13" s="130">
        <f t="shared" si="1"/>
        <v>787536</v>
      </c>
    </row>
    <row r="14" spans="1:12" ht="15.75" x14ac:dyDescent="0.25">
      <c r="A14" s="399"/>
      <c r="B14" s="241"/>
      <c r="C14" s="400"/>
      <c r="D14" s="185"/>
      <c r="E14" s="562"/>
      <c r="K14" s="130">
        <f t="shared" si="0"/>
        <v>0</v>
      </c>
      <c r="L14" s="130">
        <f t="shared" si="1"/>
        <v>0</v>
      </c>
    </row>
    <row r="15" spans="1:12" ht="15.75" x14ac:dyDescent="0.25">
      <c r="A15" s="399" t="s">
        <v>448</v>
      </c>
      <c r="B15" s="241">
        <v>12</v>
      </c>
      <c r="C15" s="613">
        <f>'MBA Schedules'!D84</f>
        <v>3957236</v>
      </c>
      <c r="D15" s="185"/>
      <c r="E15" s="561">
        <f>'MBA Schedules'!F84</f>
        <v>1592403.6</v>
      </c>
      <c r="G15">
        <v>2546</v>
      </c>
      <c r="I15">
        <v>5101</v>
      </c>
      <c r="K15" s="130">
        <f t="shared" si="0"/>
        <v>3959782</v>
      </c>
      <c r="L15" s="130">
        <f t="shared" si="1"/>
        <v>1597504.6</v>
      </c>
    </row>
    <row r="16" spans="1:12" ht="15.75" x14ac:dyDescent="0.25">
      <c r="A16" s="399"/>
      <c r="B16" s="241"/>
      <c r="C16" s="400"/>
      <c r="D16" s="185"/>
      <c r="E16" s="563"/>
      <c r="K16" s="130">
        <f t="shared" si="0"/>
        <v>0</v>
      </c>
      <c r="L16" s="130">
        <f t="shared" si="1"/>
        <v>0</v>
      </c>
    </row>
    <row r="17" spans="1:12" ht="15.75" x14ac:dyDescent="0.25">
      <c r="A17" s="401"/>
      <c r="B17" s="178"/>
      <c r="C17" s="400"/>
      <c r="D17" s="185"/>
      <c r="E17" s="561"/>
      <c r="K17" s="130">
        <f t="shared" si="0"/>
        <v>0</v>
      </c>
      <c r="L17" s="130">
        <f t="shared" si="1"/>
        <v>0</v>
      </c>
    </row>
    <row r="18" spans="1:12" ht="16.5" thickBot="1" x14ac:dyDescent="0.3">
      <c r="A18" s="444" t="s">
        <v>476</v>
      </c>
      <c r="B18" s="467"/>
      <c r="C18" s="536">
        <f>SUM(C11:C17)</f>
        <v>44177960</v>
      </c>
      <c r="D18" s="467"/>
      <c r="E18" s="564">
        <f>SUM(E11:E16)</f>
        <v>43881115.600000001</v>
      </c>
      <c r="G18">
        <v>10517641</v>
      </c>
      <c r="I18">
        <v>11393720</v>
      </c>
      <c r="K18" s="130">
        <f t="shared" si="0"/>
        <v>54695601</v>
      </c>
      <c r="L18" s="130">
        <f t="shared" si="1"/>
        <v>55274835.600000001</v>
      </c>
    </row>
    <row r="19" spans="1:12" ht="15.75" x14ac:dyDescent="0.25">
      <c r="A19" s="401"/>
      <c r="B19" s="178"/>
      <c r="C19" s="400"/>
      <c r="D19" s="185"/>
      <c r="E19" s="561"/>
      <c r="K19" s="130">
        <f t="shared" si="0"/>
        <v>0</v>
      </c>
      <c r="L19" s="130">
        <f t="shared" si="1"/>
        <v>0</v>
      </c>
    </row>
    <row r="20" spans="1:12" ht="15.75" x14ac:dyDescent="0.25">
      <c r="A20" s="396" t="s">
        <v>9</v>
      </c>
      <c r="B20" s="178"/>
      <c r="C20" s="400"/>
      <c r="D20" s="185"/>
      <c r="E20" s="561"/>
      <c r="K20" s="130">
        <f t="shared" si="0"/>
        <v>0</v>
      </c>
      <c r="L20" s="130">
        <f t="shared" si="1"/>
        <v>0</v>
      </c>
    </row>
    <row r="21" spans="1:12" ht="15.75" x14ac:dyDescent="0.25">
      <c r="A21" s="399" t="s">
        <v>451</v>
      </c>
      <c r="B21" s="241">
        <v>13</v>
      </c>
      <c r="C21" s="400">
        <f>'MBA Schedules'!D90</f>
        <v>33757803</v>
      </c>
      <c r="D21" s="185"/>
      <c r="E21" s="561">
        <f>'MBA Schedules'!F90</f>
        <v>20308300</v>
      </c>
      <c r="G21">
        <v>11627195</v>
      </c>
      <c r="I21">
        <v>5900957</v>
      </c>
      <c r="K21" s="130">
        <f t="shared" si="0"/>
        <v>45384998</v>
      </c>
      <c r="L21" s="130">
        <f t="shared" si="1"/>
        <v>26209257</v>
      </c>
    </row>
    <row r="22" spans="1:12" ht="15.75" x14ac:dyDescent="0.25">
      <c r="A22" s="399"/>
      <c r="B22" s="241"/>
      <c r="C22" s="400"/>
      <c r="D22" s="185"/>
      <c r="E22" s="561"/>
      <c r="K22" s="130">
        <f t="shared" si="0"/>
        <v>0</v>
      </c>
      <c r="L22" s="130">
        <f t="shared" si="1"/>
        <v>0</v>
      </c>
    </row>
    <row r="23" spans="1:12" ht="15.75" x14ac:dyDescent="0.25">
      <c r="A23" s="399" t="s">
        <v>452</v>
      </c>
      <c r="B23" s="241">
        <v>14</v>
      </c>
      <c r="C23" s="400">
        <f>'MBA Schedules'!D99</f>
        <v>9515268</v>
      </c>
      <c r="D23" s="185"/>
      <c r="E23" s="561">
        <f>'MBA Schedules'!F99</f>
        <v>8570845</v>
      </c>
      <c r="G23">
        <v>960514</v>
      </c>
      <c r="I23">
        <v>1971429</v>
      </c>
      <c r="K23" s="130">
        <f t="shared" si="0"/>
        <v>10475782</v>
      </c>
      <c r="L23" s="130">
        <f t="shared" si="1"/>
        <v>10542274</v>
      </c>
    </row>
    <row r="24" spans="1:12" ht="15.75" x14ac:dyDescent="0.25">
      <c r="A24" s="399"/>
      <c r="B24" s="241"/>
      <c r="C24" s="400"/>
      <c r="D24" s="185"/>
      <c r="E24" s="561"/>
      <c r="K24" s="130">
        <f t="shared" si="0"/>
        <v>0</v>
      </c>
      <c r="L24" s="130">
        <f t="shared" si="1"/>
        <v>0</v>
      </c>
    </row>
    <row r="25" spans="1:12" ht="15.75" x14ac:dyDescent="0.25">
      <c r="A25" s="399" t="s">
        <v>485</v>
      </c>
      <c r="B25" s="241">
        <v>15</v>
      </c>
      <c r="C25" s="400">
        <f>'MBA Schedules'!D115</f>
        <v>4310926</v>
      </c>
      <c r="D25" s="185"/>
      <c r="E25" s="561">
        <f>'MBA Schedules'!F115</f>
        <v>4770333</v>
      </c>
      <c r="G25">
        <v>1451903</v>
      </c>
      <c r="I25">
        <v>876263</v>
      </c>
      <c r="K25" s="130">
        <f t="shared" si="0"/>
        <v>5762829</v>
      </c>
      <c r="L25" s="130">
        <f t="shared" si="1"/>
        <v>5646596</v>
      </c>
    </row>
    <row r="26" spans="1:12" ht="15.75" x14ac:dyDescent="0.25">
      <c r="A26" s="399"/>
      <c r="B26" s="241"/>
      <c r="C26" s="400"/>
      <c r="D26" s="185"/>
      <c r="E26" s="565"/>
      <c r="K26" s="130">
        <f t="shared" si="0"/>
        <v>0</v>
      </c>
      <c r="L26" s="130">
        <f t="shared" si="1"/>
        <v>0</v>
      </c>
    </row>
    <row r="27" spans="1:12" ht="15.75" x14ac:dyDescent="0.25">
      <c r="A27" s="399" t="s">
        <v>553</v>
      </c>
      <c r="B27" s="241">
        <v>16</v>
      </c>
      <c r="C27" s="400">
        <f>'MBA Schedules'!D120</f>
        <v>3125.59</v>
      </c>
      <c r="D27" s="185"/>
      <c r="E27" s="561">
        <f>'MBA Schedules'!F120</f>
        <v>3697.41</v>
      </c>
      <c r="G27">
        <v>531</v>
      </c>
      <c r="I27">
        <v>1379.42</v>
      </c>
      <c r="K27" s="130">
        <f t="shared" si="0"/>
        <v>3656.59</v>
      </c>
      <c r="L27" s="130">
        <f t="shared" si="1"/>
        <v>5076.83</v>
      </c>
    </row>
    <row r="28" spans="1:12" ht="15.75" x14ac:dyDescent="0.25">
      <c r="A28" s="399"/>
      <c r="B28" s="241"/>
      <c r="C28" s="400"/>
      <c r="D28" s="185"/>
      <c r="E28" s="565"/>
      <c r="K28" s="130">
        <f t="shared" si="0"/>
        <v>0</v>
      </c>
      <c r="L28" s="130">
        <f t="shared" si="1"/>
        <v>0</v>
      </c>
    </row>
    <row r="29" spans="1:12" ht="15.75" x14ac:dyDescent="0.25">
      <c r="A29" s="399" t="s">
        <v>554</v>
      </c>
      <c r="B29" s="241">
        <v>17</v>
      </c>
      <c r="C29" s="613">
        <f>'MBA Schedules'!D124</f>
        <v>0</v>
      </c>
      <c r="D29" s="185"/>
      <c r="E29" s="640">
        <f>'MBA Schedules'!F124</f>
        <v>0</v>
      </c>
      <c r="G29">
        <v>0</v>
      </c>
      <c r="I29">
        <v>0</v>
      </c>
      <c r="K29" s="130">
        <f t="shared" si="0"/>
        <v>0</v>
      </c>
      <c r="L29" s="130">
        <f t="shared" si="1"/>
        <v>0</v>
      </c>
    </row>
    <row r="30" spans="1:12" ht="15.75" x14ac:dyDescent="0.25">
      <c r="A30" s="399"/>
      <c r="B30" s="241"/>
      <c r="C30" s="400"/>
      <c r="D30" s="185"/>
      <c r="E30" s="561"/>
      <c r="K30" s="130">
        <f t="shared" si="0"/>
        <v>0</v>
      </c>
      <c r="L30" s="130">
        <f t="shared" si="1"/>
        <v>0</v>
      </c>
    </row>
    <row r="31" spans="1:12" ht="15.75" x14ac:dyDescent="0.25">
      <c r="A31" s="399" t="s">
        <v>10</v>
      </c>
      <c r="B31" s="342">
        <v>18</v>
      </c>
      <c r="C31" s="347">
        <f>'MBA Schedules'!D126</f>
        <v>2966568</v>
      </c>
      <c r="D31" s="347"/>
      <c r="E31" s="426">
        <f>'MBA Schedules'!F126</f>
        <v>3540440</v>
      </c>
      <c r="G31">
        <v>780871.2</v>
      </c>
      <c r="I31">
        <v>961546</v>
      </c>
      <c r="K31" s="130">
        <f t="shared" si="0"/>
        <v>3747439.2</v>
      </c>
      <c r="L31" s="130">
        <f t="shared" si="1"/>
        <v>4501986</v>
      </c>
    </row>
    <row r="32" spans="1:12" ht="15.75" x14ac:dyDescent="0.25">
      <c r="A32" s="399"/>
      <c r="B32" s="178"/>
      <c r="C32" s="400"/>
      <c r="D32" s="185"/>
      <c r="E32" s="561"/>
      <c r="K32" s="130">
        <f t="shared" si="0"/>
        <v>0</v>
      </c>
      <c r="L32" s="130">
        <f t="shared" si="1"/>
        <v>0</v>
      </c>
    </row>
    <row r="33" spans="1:12" ht="16.5" thickBot="1" x14ac:dyDescent="0.3">
      <c r="A33" s="444" t="s">
        <v>477</v>
      </c>
      <c r="B33" s="467"/>
      <c r="C33" s="536">
        <f>SUM(C21:C32)</f>
        <v>50553690.590000004</v>
      </c>
      <c r="D33" s="467"/>
      <c r="E33" s="564">
        <f>SUM(E21:E32)</f>
        <v>37193615.409999996</v>
      </c>
      <c r="G33">
        <v>14821014.199999999</v>
      </c>
      <c r="I33">
        <v>9711574.4199999999</v>
      </c>
      <c r="K33" s="130">
        <f t="shared" si="0"/>
        <v>65374704.790000007</v>
      </c>
      <c r="L33" s="130">
        <f t="shared" si="1"/>
        <v>46905189.829999998</v>
      </c>
    </row>
    <row r="34" spans="1:12" ht="15.75" x14ac:dyDescent="0.25">
      <c r="A34" s="401"/>
      <c r="B34" s="178"/>
      <c r="C34" s="400"/>
      <c r="D34" s="185"/>
      <c r="E34" s="561"/>
      <c r="K34" s="130">
        <f t="shared" si="0"/>
        <v>0</v>
      </c>
      <c r="L34" s="130">
        <f t="shared" si="1"/>
        <v>0</v>
      </c>
    </row>
    <row r="35" spans="1:12" ht="16.5" thickBot="1" x14ac:dyDescent="0.3">
      <c r="A35" s="402" t="s">
        <v>657</v>
      </c>
      <c r="B35" s="403"/>
      <c r="C35" s="428">
        <f>+C18-C33</f>
        <v>-6375730.5900000036</v>
      </c>
      <c r="D35" s="404"/>
      <c r="E35" s="566">
        <f>+E18-E33</f>
        <v>6687500.1900000051</v>
      </c>
      <c r="G35">
        <v>-4303373.1999999993</v>
      </c>
      <c r="I35">
        <v>1682145.58</v>
      </c>
      <c r="K35" s="130">
        <f t="shared" si="0"/>
        <v>-10679103.790000003</v>
      </c>
      <c r="L35" s="130">
        <f t="shared" si="1"/>
        <v>8369645.7700000051</v>
      </c>
    </row>
    <row r="36" spans="1:12" ht="15.75" x14ac:dyDescent="0.25">
      <c r="A36" s="11"/>
      <c r="B36" s="11"/>
      <c r="C36" s="237"/>
      <c r="D36" s="11"/>
      <c r="E36" s="559"/>
    </row>
    <row r="37" spans="1:12" s="214" customFormat="1" ht="15.75" x14ac:dyDescent="0.25">
      <c r="A37" s="11" t="s">
        <v>589</v>
      </c>
      <c r="B37" s="17"/>
      <c r="C37" s="15"/>
      <c r="D37" s="12"/>
      <c r="E37" s="554"/>
    </row>
    <row r="38" spans="1:12" s="214" customFormat="1" ht="15.75" x14ac:dyDescent="0.25">
      <c r="B38" s="763" t="s">
        <v>604</v>
      </c>
      <c r="C38" s="763"/>
      <c r="D38" s="763"/>
      <c r="E38" s="763"/>
    </row>
    <row r="39" spans="1:12" s="214" customFormat="1" ht="15.75" x14ac:dyDescent="0.25">
      <c r="A39" s="11" t="s">
        <v>552</v>
      </c>
      <c r="B39" s="763" t="s">
        <v>629</v>
      </c>
      <c r="C39" s="763"/>
      <c r="D39" s="763"/>
      <c r="E39" s="763"/>
    </row>
    <row r="40" spans="1:12" s="214" customFormat="1" ht="15.75" x14ac:dyDescent="0.25">
      <c r="A40" s="11"/>
      <c r="B40" s="12"/>
      <c r="C40" s="12"/>
      <c r="D40" s="14"/>
      <c r="E40" s="560"/>
    </row>
    <row r="41" spans="1:12" s="214" customFormat="1" ht="15.75" x14ac:dyDescent="0.25">
      <c r="A41" s="11"/>
      <c r="B41" s="12"/>
      <c r="C41" s="12"/>
      <c r="D41" s="14"/>
      <c r="E41" s="560"/>
    </row>
    <row r="42" spans="1:12" s="90" customFormat="1" ht="15.75" x14ac:dyDescent="0.25">
      <c r="A42" s="348" t="s">
        <v>681</v>
      </c>
      <c r="B42" s="761" t="s">
        <v>682</v>
      </c>
      <c r="C42" s="761"/>
      <c r="D42" s="761"/>
      <c r="E42" s="761"/>
      <c r="F42" s="15"/>
    </row>
    <row r="43" spans="1:12" s="90" customFormat="1" ht="15.75" x14ac:dyDescent="0.25">
      <c r="A43" s="177" t="s">
        <v>416</v>
      </c>
      <c r="B43" s="761" t="s">
        <v>671</v>
      </c>
      <c r="C43" s="761"/>
      <c r="D43" s="761"/>
      <c r="E43" s="761"/>
    </row>
    <row r="44" spans="1:12" s="90" customFormat="1" ht="15.75" x14ac:dyDescent="0.25">
      <c r="A44" s="11" t="s">
        <v>684</v>
      </c>
      <c r="B44" s="12"/>
      <c r="C44" s="13"/>
      <c r="D44" s="14"/>
      <c r="E44" s="14"/>
    </row>
    <row r="45" spans="1:12" s="90" customFormat="1" ht="15.75" x14ac:dyDescent="0.25">
      <c r="A45" s="11"/>
      <c r="B45" s="12"/>
      <c r="C45" s="11"/>
      <c r="D45" s="11"/>
      <c r="E45" s="11"/>
    </row>
    <row r="46" spans="1:12" s="90" customFormat="1" ht="15.75" x14ac:dyDescent="0.25">
      <c r="A46" s="11"/>
      <c r="B46" s="11"/>
      <c r="C46" s="11"/>
      <c r="D46" s="11"/>
      <c r="E46" s="11"/>
    </row>
    <row r="47" spans="1:12" s="90" customFormat="1" ht="15.75" x14ac:dyDescent="0.25">
      <c r="A47" s="11"/>
      <c r="B47" s="762" t="s">
        <v>683</v>
      </c>
      <c r="C47" s="762"/>
      <c r="D47" s="762"/>
      <c r="E47" s="762"/>
    </row>
    <row r="48" spans="1:12" s="90" customFormat="1" ht="15.75" x14ac:dyDescent="0.25">
      <c r="A48" s="11"/>
      <c r="B48" s="763" t="s">
        <v>621</v>
      </c>
      <c r="C48" s="763"/>
      <c r="D48" s="763"/>
      <c r="E48" s="763"/>
    </row>
    <row r="49" spans="1:6" s="90" customFormat="1" ht="15.75" x14ac:dyDescent="0.25">
      <c r="A49" s="348" t="s">
        <v>686</v>
      </c>
      <c r="B49" s="11"/>
      <c r="C49" s="11"/>
      <c r="D49" s="11"/>
      <c r="E49" s="11"/>
    </row>
    <row r="50" spans="1:6" s="90" customFormat="1" ht="15.75" x14ac:dyDescent="0.25">
      <c r="A50" s="148" t="s">
        <v>687</v>
      </c>
      <c r="B50" s="11"/>
      <c r="C50" s="11"/>
      <c r="D50" s="11"/>
      <c r="E50" s="11"/>
    </row>
    <row r="51" spans="1:6" s="90" customFormat="1" ht="15.75" x14ac:dyDescent="0.25">
      <c r="A51" s="11" t="s">
        <v>688</v>
      </c>
      <c r="B51" s="11"/>
      <c r="C51" s="11"/>
      <c r="D51" s="11"/>
      <c r="E51" s="11"/>
    </row>
    <row r="52" spans="1:6" s="90" customFormat="1" ht="15.75" x14ac:dyDescent="0.25">
      <c r="A52" s="148" t="s">
        <v>419</v>
      </c>
      <c r="B52" s="764" t="s">
        <v>685</v>
      </c>
      <c r="C52" s="764"/>
      <c r="D52" s="764"/>
      <c r="E52" s="764"/>
      <c r="F52" s="16"/>
    </row>
    <row r="53" spans="1:6" s="90" customFormat="1" ht="15.75" x14ac:dyDescent="0.25">
      <c r="A53" s="148" t="s">
        <v>690</v>
      </c>
      <c r="B53" s="748" t="s">
        <v>622</v>
      </c>
      <c r="C53" s="748"/>
      <c r="D53" s="748"/>
      <c r="E53" s="748"/>
      <c r="F53" s="16"/>
    </row>
    <row r="54" spans="1:6" s="214" customFormat="1" ht="15.75" x14ac:dyDescent="0.25">
      <c r="A54" s="148"/>
      <c r="B54" s="349"/>
      <c r="C54" s="349"/>
      <c r="D54" s="349"/>
      <c r="E54" s="349"/>
    </row>
    <row r="55" spans="1:6" ht="15.75" x14ac:dyDescent="0.25">
      <c r="A55" s="11"/>
      <c r="B55" s="11"/>
      <c r="C55" s="11"/>
      <c r="D55" s="11"/>
      <c r="E55" s="560"/>
    </row>
    <row r="56" spans="1:6" ht="15.75" x14ac:dyDescent="0.25">
      <c r="A56" s="11"/>
      <c r="B56" s="11"/>
      <c r="C56" s="11"/>
      <c r="D56" s="11"/>
      <c r="E56" s="560"/>
    </row>
    <row r="57" spans="1:6" ht="15.75" x14ac:dyDescent="0.25">
      <c r="A57" s="11"/>
      <c r="B57" s="11"/>
      <c r="C57" s="11"/>
      <c r="D57" s="11"/>
      <c r="E57" s="560"/>
    </row>
    <row r="58" spans="1:6" ht="15.75" x14ac:dyDescent="0.25">
      <c r="A58" s="11"/>
      <c r="B58" s="11"/>
      <c r="C58" s="11"/>
      <c r="D58" s="11"/>
      <c r="E58" s="560"/>
    </row>
    <row r="59" spans="1:6" ht="15.75" x14ac:dyDescent="0.25">
      <c r="A59" s="11"/>
      <c r="B59" s="11"/>
      <c r="C59" s="11"/>
      <c r="D59" s="11"/>
      <c r="E59" s="560"/>
    </row>
    <row r="60" spans="1:6" ht="15.75" x14ac:dyDescent="0.25">
      <c r="A60" s="11"/>
      <c r="B60" s="11"/>
      <c r="C60" s="11"/>
      <c r="D60" s="11"/>
      <c r="E60" s="560"/>
    </row>
    <row r="61" spans="1:6" ht="15.75" x14ac:dyDescent="0.25">
      <c r="A61" s="11"/>
      <c r="B61" s="11"/>
      <c r="C61" s="11"/>
      <c r="D61" s="11"/>
      <c r="E61" s="560"/>
    </row>
    <row r="62" spans="1:6" ht="15.75" x14ac:dyDescent="0.25">
      <c r="A62" s="11"/>
      <c r="B62" s="11"/>
      <c r="C62" s="11"/>
      <c r="D62" s="11"/>
      <c r="E62" s="560"/>
    </row>
    <row r="63" spans="1:6" ht="15.75" x14ac:dyDescent="0.25">
      <c r="A63" s="11"/>
      <c r="B63" s="11"/>
      <c r="C63" s="11"/>
      <c r="D63" s="11"/>
      <c r="E63" s="560"/>
    </row>
    <row r="64" spans="1:6" ht="15.75" x14ac:dyDescent="0.25">
      <c r="A64" s="11"/>
      <c r="B64" s="11"/>
      <c r="C64" s="11"/>
      <c r="D64" s="11"/>
      <c r="E64" s="560"/>
    </row>
    <row r="65" spans="1:5" ht="15.75" x14ac:dyDescent="0.25">
      <c r="A65" s="11"/>
      <c r="B65" s="11"/>
      <c r="C65" s="11"/>
      <c r="D65" s="11"/>
      <c r="E65" s="560"/>
    </row>
    <row r="66" spans="1:5" ht="15.75" x14ac:dyDescent="0.25">
      <c r="A66" s="11"/>
      <c r="B66" s="11"/>
      <c r="C66" s="11"/>
      <c r="D66" s="11"/>
      <c r="E66" s="560"/>
    </row>
    <row r="67" spans="1:5" ht="15.75" x14ac:dyDescent="0.25">
      <c r="A67" s="11"/>
      <c r="B67" s="11"/>
      <c r="C67" s="11"/>
      <c r="D67" s="11"/>
      <c r="E67" s="560"/>
    </row>
    <row r="68" spans="1:5" ht="15.75" x14ac:dyDescent="0.25">
      <c r="A68" s="11"/>
      <c r="B68" s="11"/>
      <c r="C68" s="11"/>
      <c r="D68" s="11"/>
      <c r="E68" s="560"/>
    </row>
    <row r="69" spans="1:5" ht="15.75" x14ac:dyDescent="0.25">
      <c r="A69" s="11"/>
      <c r="B69" s="11"/>
      <c r="C69" s="11"/>
      <c r="D69" s="11"/>
      <c r="E69" s="560"/>
    </row>
    <row r="70" spans="1:5" ht="15.75" x14ac:dyDescent="0.25">
      <c r="A70" s="11"/>
      <c r="B70" s="11"/>
      <c r="C70" s="11"/>
      <c r="D70" s="11"/>
      <c r="E70" s="560"/>
    </row>
    <row r="71" spans="1:5" ht="15.75" x14ac:dyDescent="0.25">
      <c r="A71" s="11"/>
      <c r="B71" s="11"/>
      <c r="C71" s="11"/>
      <c r="D71" s="11"/>
      <c r="E71" s="560"/>
    </row>
    <row r="72" spans="1:5" ht="15.75" x14ac:dyDescent="0.25">
      <c r="A72" s="11"/>
      <c r="B72" s="11"/>
      <c r="C72" s="11"/>
      <c r="D72" s="11"/>
      <c r="E72" s="560"/>
    </row>
    <row r="73" spans="1:5" ht="15.75" x14ac:dyDescent="0.25">
      <c r="A73" s="11"/>
      <c r="B73" s="11"/>
      <c r="C73" s="11"/>
      <c r="D73" s="11"/>
      <c r="E73" s="560"/>
    </row>
    <row r="74" spans="1:5" ht="15.75" x14ac:dyDescent="0.25">
      <c r="A74" s="11"/>
      <c r="B74" s="11"/>
      <c r="C74" s="11"/>
      <c r="D74" s="11"/>
      <c r="E74" s="560"/>
    </row>
    <row r="75" spans="1:5" ht="15.75" x14ac:dyDescent="0.25">
      <c r="A75" s="11"/>
      <c r="B75" s="11"/>
      <c r="C75" s="11"/>
      <c r="D75" s="11"/>
      <c r="E75" s="560"/>
    </row>
    <row r="76" spans="1:5" ht="15.75" x14ac:dyDescent="0.25">
      <c r="A76" s="11"/>
      <c r="B76" s="11"/>
      <c r="C76" s="11"/>
      <c r="D76" s="11"/>
      <c r="E76" s="560"/>
    </row>
    <row r="77" spans="1:5" ht="15.75" x14ac:dyDescent="0.25">
      <c r="A77" s="11"/>
      <c r="B77" s="11"/>
      <c r="C77" s="11"/>
      <c r="D77" s="11"/>
      <c r="E77" s="560"/>
    </row>
    <row r="78" spans="1:5" ht="15.75" x14ac:dyDescent="0.25">
      <c r="A78" s="11"/>
      <c r="B78" s="11"/>
      <c r="C78" s="11"/>
      <c r="D78" s="11"/>
      <c r="E78" s="560"/>
    </row>
    <row r="79" spans="1:5" ht="15.75" x14ac:dyDescent="0.25">
      <c r="A79" s="11"/>
      <c r="B79" s="11"/>
      <c r="C79" s="11"/>
      <c r="D79" s="11"/>
      <c r="E79" s="560"/>
    </row>
    <row r="80" spans="1:5" ht="15.75" x14ac:dyDescent="0.25">
      <c r="A80" s="11"/>
      <c r="B80" s="11"/>
      <c r="C80" s="11"/>
      <c r="D80" s="11"/>
      <c r="E80" s="560"/>
    </row>
    <row r="81" spans="1:5" ht="15.75" x14ac:dyDescent="0.25">
      <c r="A81" s="11"/>
      <c r="B81" s="11"/>
      <c r="C81" s="11"/>
      <c r="D81" s="11"/>
      <c r="E81" s="560"/>
    </row>
    <row r="82" spans="1:5" ht="15.75" x14ac:dyDescent="0.25">
      <c r="A82" s="11"/>
      <c r="B82" s="11"/>
      <c r="C82" s="11"/>
      <c r="D82" s="11"/>
      <c r="E82" s="560"/>
    </row>
    <row r="83" spans="1:5" ht="15.75" x14ac:dyDescent="0.25">
      <c r="A83" s="11"/>
      <c r="B83" s="11"/>
      <c r="C83" s="11"/>
      <c r="D83" s="11"/>
      <c r="E83" s="560"/>
    </row>
    <row r="84" spans="1:5" ht="15.75" x14ac:dyDescent="0.25">
      <c r="A84" s="11"/>
      <c r="B84" s="11"/>
      <c r="C84" s="11"/>
      <c r="D84" s="11"/>
      <c r="E84" s="560"/>
    </row>
    <row r="85" spans="1:5" ht="15.75" x14ac:dyDescent="0.25">
      <c r="A85" s="11"/>
      <c r="B85" s="11"/>
      <c r="C85" s="11"/>
      <c r="D85" s="11"/>
      <c r="E85" s="560"/>
    </row>
    <row r="86" spans="1:5" ht="15.75" x14ac:dyDescent="0.25">
      <c r="A86" s="11"/>
      <c r="B86" s="11"/>
      <c r="C86" s="11"/>
      <c r="D86" s="11"/>
      <c r="E86" s="560"/>
    </row>
    <row r="87" spans="1:5" ht="15.75" x14ac:dyDescent="0.25">
      <c r="A87" s="11"/>
      <c r="B87" s="11"/>
      <c r="C87" s="11"/>
      <c r="D87" s="11"/>
      <c r="E87" s="560"/>
    </row>
    <row r="88" spans="1:5" ht="15.75" x14ac:dyDescent="0.25">
      <c r="A88" s="11"/>
      <c r="B88" s="11"/>
      <c r="C88" s="11"/>
      <c r="D88" s="11"/>
      <c r="E88" s="560"/>
    </row>
    <row r="89" spans="1:5" ht="15.75" x14ac:dyDescent="0.25">
      <c r="A89" s="11"/>
      <c r="B89" s="11"/>
      <c r="C89" s="11"/>
      <c r="D89" s="11"/>
      <c r="E89" s="560"/>
    </row>
    <row r="90" spans="1:5" ht="15.75" x14ac:dyDescent="0.25">
      <c r="A90" s="11"/>
      <c r="B90" s="11"/>
      <c r="C90" s="11"/>
      <c r="D90" s="11"/>
      <c r="E90" s="560"/>
    </row>
    <row r="91" spans="1:5" ht="15.75" x14ac:dyDescent="0.25">
      <c r="A91" s="11"/>
      <c r="B91" s="11"/>
      <c r="C91" s="11"/>
      <c r="D91" s="11"/>
      <c r="E91" s="560"/>
    </row>
    <row r="92" spans="1:5" ht="15.75" x14ac:dyDescent="0.25">
      <c r="A92" s="11"/>
      <c r="B92" s="11"/>
      <c r="C92" s="11"/>
      <c r="D92" s="11"/>
      <c r="E92" s="560"/>
    </row>
    <row r="93" spans="1:5" ht="15.75" x14ac:dyDescent="0.25">
      <c r="A93" s="11"/>
      <c r="B93" s="11"/>
      <c r="C93" s="11"/>
      <c r="D93" s="11"/>
      <c r="E93" s="560"/>
    </row>
    <row r="94" spans="1:5" ht="15.75" x14ac:dyDescent="0.25">
      <c r="A94" s="11"/>
      <c r="B94" s="11"/>
      <c r="C94" s="11"/>
      <c r="D94" s="11"/>
      <c r="E94" s="560"/>
    </row>
    <row r="95" spans="1:5" ht="15.75" x14ac:dyDescent="0.25">
      <c r="A95" s="11"/>
      <c r="B95" s="11"/>
      <c r="C95" s="11"/>
      <c r="D95" s="11"/>
      <c r="E95" s="560"/>
    </row>
    <row r="96" spans="1:5" ht="15.75" x14ac:dyDescent="0.25">
      <c r="A96" s="11"/>
      <c r="B96" s="11"/>
      <c r="C96" s="11"/>
      <c r="D96" s="11"/>
      <c r="E96" s="560"/>
    </row>
    <row r="97" spans="1:5" ht="15.75" x14ac:dyDescent="0.25">
      <c r="A97" s="11"/>
      <c r="B97" s="11"/>
      <c r="C97" s="11"/>
      <c r="D97" s="11"/>
      <c r="E97" s="560"/>
    </row>
    <row r="98" spans="1:5" ht="15.75" x14ac:dyDescent="0.25">
      <c r="A98" s="11"/>
      <c r="B98" s="11"/>
      <c r="C98" s="11"/>
      <c r="D98" s="11"/>
      <c r="E98" s="560"/>
    </row>
    <row r="99" spans="1:5" ht="15.75" x14ac:dyDescent="0.25">
      <c r="A99" s="11"/>
      <c r="B99" s="11"/>
      <c r="C99" s="11"/>
      <c r="D99" s="11"/>
      <c r="E99" s="560"/>
    </row>
    <row r="100" spans="1:5" ht="15.75" x14ac:dyDescent="0.25">
      <c r="A100" s="11"/>
      <c r="B100" s="11"/>
      <c r="C100" s="11"/>
      <c r="D100" s="11"/>
      <c r="E100" s="560"/>
    </row>
    <row r="101" spans="1:5" ht="15.75" x14ac:dyDescent="0.25">
      <c r="A101" s="11"/>
      <c r="B101" s="11"/>
      <c r="C101" s="11"/>
      <c r="D101" s="11"/>
      <c r="E101" s="560"/>
    </row>
    <row r="102" spans="1:5" ht="15.75" x14ac:dyDescent="0.25">
      <c r="A102" s="11"/>
      <c r="B102" s="11"/>
      <c r="C102" s="11"/>
      <c r="D102" s="11"/>
      <c r="E102" s="560"/>
    </row>
    <row r="103" spans="1:5" ht="15.75" x14ac:dyDescent="0.25">
      <c r="A103" s="11"/>
      <c r="B103" s="11"/>
      <c r="C103" s="11"/>
      <c r="D103" s="11"/>
      <c r="E103" s="560"/>
    </row>
    <row r="104" spans="1:5" ht="15.75" x14ac:dyDescent="0.25">
      <c r="A104" s="11"/>
      <c r="B104" s="11"/>
      <c r="C104" s="11"/>
      <c r="D104" s="11"/>
      <c r="E104" s="560"/>
    </row>
    <row r="105" spans="1:5" ht="15.75" x14ac:dyDescent="0.25">
      <c r="A105" s="11"/>
      <c r="B105" s="11"/>
      <c r="C105" s="11"/>
      <c r="D105" s="11"/>
      <c r="E105" s="560"/>
    </row>
    <row r="106" spans="1:5" ht="15.75" x14ac:dyDescent="0.25">
      <c r="A106" s="11"/>
      <c r="B106" s="11"/>
      <c r="C106" s="11"/>
      <c r="D106" s="11"/>
      <c r="E106" s="560"/>
    </row>
    <row r="107" spans="1:5" ht="15.75" x14ac:dyDescent="0.25">
      <c r="A107" s="11"/>
      <c r="B107" s="11"/>
      <c r="C107" s="11"/>
      <c r="D107" s="11"/>
      <c r="E107" s="560"/>
    </row>
    <row r="108" spans="1:5" ht="15.75" x14ac:dyDescent="0.25">
      <c r="A108" s="11"/>
      <c r="B108" s="11"/>
      <c r="C108" s="11"/>
      <c r="D108" s="11"/>
      <c r="E108" s="560"/>
    </row>
    <row r="109" spans="1:5" ht="15.75" x14ac:dyDescent="0.25">
      <c r="A109" s="11"/>
      <c r="B109" s="11"/>
      <c r="C109" s="11"/>
      <c r="D109" s="11"/>
      <c r="E109" s="560"/>
    </row>
    <row r="110" spans="1:5" ht="15.75" x14ac:dyDescent="0.25">
      <c r="A110" s="11"/>
      <c r="B110" s="11"/>
      <c r="C110" s="11"/>
      <c r="D110" s="11"/>
      <c r="E110" s="560"/>
    </row>
    <row r="111" spans="1:5" ht="15.75" x14ac:dyDescent="0.25">
      <c r="A111" s="11"/>
      <c r="B111" s="11"/>
      <c r="C111" s="11"/>
      <c r="D111" s="11"/>
      <c r="E111" s="560"/>
    </row>
    <row r="112" spans="1:5" ht="15.75" x14ac:dyDescent="0.25">
      <c r="A112" s="11"/>
      <c r="B112" s="11"/>
      <c r="C112" s="11"/>
      <c r="D112" s="11"/>
      <c r="E112" s="560"/>
    </row>
    <row r="113" spans="1:5" ht="15.75" x14ac:dyDescent="0.25">
      <c r="A113" s="11"/>
      <c r="B113" s="11"/>
      <c r="C113" s="11"/>
      <c r="D113" s="11"/>
      <c r="E113" s="560"/>
    </row>
    <row r="114" spans="1:5" ht="15.75" x14ac:dyDescent="0.25">
      <c r="A114" s="11"/>
      <c r="B114" s="11"/>
      <c r="C114" s="11"/>
      <c r="D114" s="11"/>
      <c r="E114" s="560"/>
    </row>
    <row r="115" spans="1:5" ht="15.75" x14ac:dyDescent="0.25">
      <c r="A115" s="11"/>
      <c r="B115" s="11"/>
      <c r="C115" s="11"/>
      <c r="D115" s="11"/>
      <c r="E115" s="560"/>
    </row>
    <row r="116" spans="1:5" ht="15.75" x14ac:dyDescent="0.25">
      <c r="A116" s="11"/>
      <c r="B116" s="11"/>
      <c r="C116" s="11"/>
      <c r="D116" s="11"/>
      <c r="E116" s="560"/>
    </row>
    <row r="117" spans="1:5" ht="15.75" x14ac:dyDescent="0.25">
      <c r="A117" s="11"/>
      <c r="B117" s="11"/>
      <c r="C117" s="11"/>
      <c r="D117" s="11"/>
      <c r="E117" s="560"/>
    </row>
    <row r="118" spans="1:5" ht="15.75" x14ac:dyDescent="0.25">
      <c r="A118" s="11"/>
      <c r="B118" s="11"/>
      <c r="C118" s="11"/>
      <c r="D118" s="11"/>
      <c r="E118" s="560"/>
    </row>
    <row r="119" spans="1:5" ht="15.75" x14ac:dyDescent="0.25">
      <c r="A119" s="11"/>
      <c r="B119" s="11"/>
      <c r="C119" s="11"/>
      <c r="D119" s="11"/>
      <c r="E119" s="560"/>
    </row>
    <row r="120" spans="1:5" ht="15.75" x14ac:dyDescent="0.25">
      <c r="A120" s="11"/>
      <c r="B120" s="11"/>
      <c r="C120" s="11"/>
      <c r="D120" s="11"/>
      <c r="E120" s="560"/>
    </row>
    <row r="121" spans="1:5" ht="15.75" x14ac:dyDescent="0.25">
      <c r="A121" s="11"/>
      <c r="B121" s="11"/>
      <c r="C121" s="11"/>
      <c r="D121" s="11"/>
      <c r="E121" s="560"/>
    </row>
    <row r="122" spans="1:5" ht="15.75" x14ac:dyDescent="0.25">
      <c r="A122" s="11"/>
      <c r="B122" s="11"/>
      <c r="C122" s="11"/>
      <c r="D122" s="11"/>
      <c r="E122" s="560"/>
    </row>
    <row r="123" spans="1:5" ht="15.75" x14ac:dyDescent="0.25">
      <c r="A123" s="11"/>
      <c r="B123" s="11"/>
      <c r="C123" s="11"/>
      <c r="D123" s="11"/>
      <c r="E123" s="560"/>
    </row>
    <row r="124" spans="1:5" ht="15.75" x14ac:dyDescent="0.25">
      <c r="A124" s="11"/>
      <c r="B124" s="11"/>
      <c r="C124" s="11"/>
      <c r="D124" s="11"/>
      <c r="E124" s="560"/>
    </row>
    <row r="125" spans="1:5" ht="15.75" x14ac:dyDescent="0.25">
      <c r="A125" s="11"/>
      <c r="B125" s="11"/>
      <c r="C125" s="11"/>
      <c r="D125" s="11"/>
      <c r="E125" s="560"/>
    </row>
    <row r="126" spans="1:5" ht="15.75" x14ac:dyDescent="0.25">
      <c r="A126" s="11"/>
      <c r="B126" s="11"/>
      <c r="C126" s="11"/>
      <c r="D126" s="11"/>
      <c r="E126" s="560"/>
    </row>
    <row r="127" spans="1:5" ht="15.75" x14ac:dyDescent="0.25">
      <c r="A127" s="11"/>
      <c r="B127" s="11"/>
      <c r="C127" s="11"/>
      <c r="D127" s="11"/>
      <c r="E127" s="560"/>
    </row>
    <row r="128" spans="1:5" ht="15.75" x14ac:dyDescent="0.25">
      <c r="A128" s="11"/>
      <c r="B128" s="11"/>
      <c r="C128" s="11"/>
      <c r="D128" s="11"/>
      <c r="E128" s="560"/>
    </row>
    <row r="129" spans="1:5" ht="15.75" x14ac:dyDescent="0.25">
      <c r="A129" s="11"/>
      <c r="B129" s="11"/>
      <c r="C129" s="11"/>
      <c r="D129" s="11"/>
      <c r="E129" s="560"/>
    </row>
    <row r="130" spans="1:5" ht="15.75" x14ac:dyDescent="0.25">
      <c r="A130" s="11"/>
      <c r="B130" s="11"/>
      <c r="C130" s="11"/>
      <c r="D130" s="11"/>
      <c r="E130" s="560"/>
    </row>
    <row r="131" spans="1:5" ht="15.75" x14ac:dyDescent="0.25">
      <c r="A131" s="11"/>
      <c r="B131" s="11"/>
      <c r="C131" s="11"/>
      <c r="D131" s="11"/>
      <c r="E131" s="560"/>
    </row>
    <row r="132" spans="1:5" ht="15.75" x14ac:dyDescent="0.25">
      <c r="A132" s="11"/>
      <c r="B132" s="11"/>
      <c r="C132" s="11"/>
      <c r="D132" s="11"/>
      <c r="E132" s="560"/>
    </row>
    <row r="133" spans="1:5" ht="15.75" x14ac:dyDescent="0.25">
      <c r="A133" s="11"/>
      <c r="B133" s="11"/>
      <c r="C133" s="11"/>
      <c r="D133" s="11"/>
      <c r="E133" s="560"/>
    </row>
    <row r="134" spans="1:5" ht="15.75" x14ac:dyDescent="0.25">
      <c r="A134" s="11"/>
      <c r="B134" s="11"/>
      <c r="C134" s="11"/>
      <c r="D134" s="11"/>
      <c r="E134" s="560"/>
    </row>
    <row r="135" spans="1:5" ht="15.75" x14ac:dyDescent="0.25">
      <c r="A135" s="11"/>
      <c r="B135" s="11"/>
      <c r="C135" s="11"/>
      <c r="D135" s="11"/>
      <c r="E135" s="560"/>
    </row>
    <row r="136" spans="1:5" ht="15.75" x14ac:dyDescent="0.25">
      <c r="A136" s="11"/>
      <c r="B136" s="11"/>
      <c r="C136" s="11"/>
      <c r="D136" s="11"/>
      <c r="E136" s="560"/>
    </row>
    <row r="137" spans="1:5" ht="15.75" x14ac:dyDescent="0.25">
      <c r="A137" s="11"/>
      <c r="B137" s="11"/>
      <c r="C137" s="11"/>
      <c r="D137" s="11"/>
      <c r="E137" s="560"/>
    </row>
    <row r="138" spans="1:5" ht="15.75" x14ac:dyDescent="0.25">
      <c r="A138" s="11"/>
      <c r="B138" s="11"/>
      <c r="C138" s="11"/>
      <c r="D138" s="11"/>
      <c r="E138" s="560"/>
    </row>
    <row r="139" spans="1:5" ht="15.75" x14ac:dyDescent="0.25">
      <c r="A139" s="11"/>
      <c r="B139" s="11"/>
      <c r="C139" s="11"/>
      <c r="D139" s="11"/>
      <c r="E139" s="560"/>
    </row>
    <row r="140" spans="1:5" ht="15.75" x14ac:dyDescent="0.25">
      <c r="A140" s="11"/>
      <c r="B140" s="11"/>
      <c r="C140" s="11"/>
      <c r="D140" s="11"/>
      <c r="E140" s="560"/>
    </row>
    <row r="141" spans="1:5" ht="15.75" x14ac:dyDescent="0.25">
      <c r="A141" s="11"/>
      <c r="B141" s="11"/>
      <c r="C141" s="11"/>
      <c r="D141" s="11"/>
      <c r="E141" s="560"/>
    </row>
    <row r="142" spans="1:5" ht="15.75" x14ac:dyDescent="0.25">
      <c r="A142" s="11"/>
      <c r="B142" s="11"/>
      <c r="C142" s="11"/>
      <c r="D142" s="11"/>
      <c r="E142" s="560"/>
    </row>
    <row r="143" spans="1:5" ht="15.75" x14ac:dyDescent="0.25">
      <c r="A143" s="11"/>
      <c r="B143" s="11"/>
      <c r="C143" s="11"/>
      <c r="D143" s="11"/>
      <c r="E143" s="560"/>
    </row>
    <row r="144" spans="1:5" ht="15.75" x14ac:dyDescent="0.25">
      <c r="A144" s="11"/>
      <c r="B144" s="11"/>
      <c r="C144" s="11"/>
      <c r="D144" s="11"/>
      <c r="E144" s="560"/>
    </row>
    <row r="145" spans="1:5" ht="15.75" x14ac:dyDescent="0.25">
      <c r="A145" s="11"/>
      <c r="B145" s="11"/>
      <c r="C145" s="11"/>
      <c r="D145" s="11"/>
      <c r="E145" s="560"/>
    </row>
    <row r="146" spans="1:5" ht="15.75" x14ac:dyDescent="0.25">
      <c r="A146" s="11"/>
      <c r="B146" s="11"/>
      <c r="C146" s="11"/>
      <c r="D146" s="11"/>
      <c r="E146" s="560"/>
    </row>
    <row r="147" spans="1:5" ht="15.75" x14ac:dyDescent="0.25">
      <c r="A147" s="11"/>
      <c r="B147" s="11"/>
      <c r="C147" s="11"/>
      <c r="D147" s="11"/>
      <c r="E147" s="560"/>
    </row>
    <row r="148" spans="1:5" ht="15.75" x14ac:dyDescent="0.25">
      <c r="A148" s="11"/>
      <c r="B148" s="11"/>
      <c r="C148" s="11"/>
      <c r="D148" s="11"/>
      <c r="E148" s="560"/>
    </row>
    <row r="149" spans="1:5" ht="15.75" x14ac:dyDescent="0.25">
      <c r="A149" s="11"/>
      <c r="B149" s="11"/>
      <c r="C149" s="11"/>
      <c r="D149" s="11"/>
      <c r="E149" s="560"/>
    </row>
    <row r="150" spans="1:5" ht="15.75" x14ac:dyDescent="0.25">
      <c r="A150" s="11"/>
      <c r="B150" s="11"/>
      <c r="C150" s="11"/>
      <c r="D150" s="11"/>
      <c r="E150" s="560"/>
    </row>
    <row r="151" spans="1:5" ht="15.75" x14ac:dyDescent="0.25">
      <c r="A151" s="11"/>
      <c r="B151" s="11"/>
      <c r="C151" s="11"/>
      <c r="D151" s="11"/>
      <c r="E151" s="560"/>
    </row>
    <row r="152" spans="1:5" ht="15.75" x14ac:dyDescent="0.25">
      <c r="A152" s="11"/>
      <c r="B152" s="11"/>
      <c r="C152" s="11"/>
      <c r="D152" s="11"/>
      <c r="E152" s="560"/>
    </row>
    <row r="153" spans="1:5" ht="15.75" x14ac:dyDescent="0.25">
      <c r="A153" s="11"/>
      <c r="B153" s="11"/>
      <c r="C153" s="11"/>
      <c r="D153" s="11"/>
      <c r="E153" s="560"/>
    </row>
    <row r="154" spans="1:5" ht="15.75" x14ac:dyDescent="0.25">
      <c r="A154" s="11"/>
      <c r="B154" s="11"/>
      <c r="C154" s="11"/>
      <c r="D154" s="11"/>
      <c r="E154" s="560"/>
    </row>
    <row r="155" spans="1:5" ht="15.75" x14ac:dyDescent="0.25">
      <c r="A155" s="11"/>
      <c r="B155" s="11"/>
      <c r="C155" s="11"/>
      <c r="D155" s="11"/>
      <c r="E155" s="560"/>
    </row>
  </sheetData>
  <mergeCells count="14">
    <mergeCell ref="B52:E52"/>
    <mergeCell ref="B53:E53"/>
    <mergeCell ref="A1:E1"/>
    <mergeCell ref="A2:E2"/>
    <mergeCell ref="A3:E3"/>
    <mergeCell ref="B5:B8"/>
    <mergeCell ref="A5:A8"/>
    <mergeCell ref="A4:E4"/>
    <mergeCell ref="B38:E38"/>
    <mergeCell ref="B42:E42"/>
    <mergeCell ref="B43:E43"/>
    <mergeCell ref="B47:E47"/>
    <mergeCell ref="B48:E48"/>
    <mergeCell ref="B39:E39"/>
  </mergeCells>
  <printOptions horizontalCentered="1"/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7"/>
  <sheetViews>
    <sheetView zoomScale="60" zoomScaleNormal="60" workbookViewId="0">
      <selection activeCell="A50" sqref="A50"/>
    </sheetView>
  </sheetViews>
  <sheetFormatPr defaultColWidth="9.140625" defaultRowHeight="18" x14ac:dyDescent="0.25"/>
  <cols>
    <col min="1" max="1" width="9.140625" style="209" customWidth="1"/>
    <col min="2" max="2" width="51.28515625" style="206" customWidth="1"/>
    <col min="3" max="3" width="25.140625" style="206" customWidth="1"/>
    <col min="4" max="4" width="23.85546875" style="206" bestFit="1" customWidth="1"/>
    <col min="5" max="5" width="26.140625" style="206" customWidth="1"/>
    <col min="6" max="6" width="24.28515625" style="206" customWidth="1"/>
    <col min="7" max="7" width="2.85546875" style="206" customWidth="1"/>
    <col min="8" max="8" width="8" style="208" bestFit="1" customWidth="1"/>
    <col min="9" max="9" width="3" style="206" customWidth="1"/>
    <col min="10" max="10" width="27" style="206" customWidth="1"/>
    <col min="11" max="11" width="23.85546875" style="207" bestFit="1" customWidth="1"/>
    <col min="12" max="12" width="23.85546875" style="206" customWidth="1"/>
    <col min="13" max="13" width="2.7109375" style="206" customWidth="1"/>
    <col min="14" max="14" width="26.28515625" style="206" bestFit="1" customWidth="1"/>
    <col min="15" max="15" width="24.5703125" style="206" bestFit="1" customWidth="1"/>
    <col min="16" max="16" width="22" style="206" bestFit="1" customWidth="1"/>
    <col min="17" max="16384" width="9.140625" style="206"/>
  </cols>
  <sheetData>
    <row r="1" spans="1:16" ht="18.75" x14ac:dyDescent="0.25">
      <c r="A1" s="793" t="s">
        <v>559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</row>
    <row r="2" spans="1:16" ht="18.75" x14ac:dyDescent="0.25">
      <c r="A2" s="793" t="str">
        <f>'MBA BS'!A2:E2</f>
        <v>M.B.A PROGRAMME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793"/>
      <c r="O2" s="793"/>
    </row>
    <row r="3" spans="1:16" ht="18.75" x14ac:dyDescent="0.25">
      <c r="A3" s="793" t="s">
        <v>666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</row>
    <row r="4" spans="1:16" ht="18.75" thickBot="1" x14ac:dyDescent="0.3">
      <c r="A4" s="309"/>
      <c r="B4" s="310"/>
      <c r="C4" s="310"/>
      <c r="D4" s="310"/>
      <c r="E4" s="310"/>
      <c r="F4" s="310"/>
      <c r="G4" s="310"/>
      <c r="H4" s="311"/>
      <c r="I4" s="310"/>
      <c r="J4" s="310"/>
      <c r="K4" s="312"/>
      <c r="L4" s="310"/>
      <c r="M4" s="310"/>
      <c r="N4" s="310"/>
      <c r="O4" s="310"/>
    </row>
    <row r="5" spans="1:16" s="302" customFormat="1" ht="52.5" customHeight="1" x14ac:dyDescent="0.3">
      <c r="A5" s="794" t="s">
        <v>493</v>
      </c>
      <c r="B5" s="797" t="s">
        <v>422</v>
      </c>
      <c r="C5" s="797" t="s">
        <v>27</v>
      </c>
      <c r="D5" s="797"/>
      <c r="E5" s="797"/>
      <c r="F5" s="797"/>
      <c r="G5" s="667"/>
      <c r="H5" s="301" t="s">
        <v>76</v>
      </c>
      <c r="I5" s="667"/>
      <c r="J5" s="797" t="s">
        <v>28</v>
      </c>
      <c r="K5" s="797"/>
      <c r="L5" s="797"/>
      <c r="M5" s="667"/>
      <c r="N5" s="797" t="s">
        <v>29</v>
      </c>
      <c r="O5" s="800"/>
    </row>
    <row r="6" spans="1:16" s="302" customFormat="1" ht="18.75" x14ac:dyDescent="0.3">
      <c r="A6" s="795"/>
      <c r="B6" s="798"/>
      <c r="C6" s="668">
        <v>1</v>
      </c>
      <c r="D6" s="801">
        <v>2</v>
      </c>
      <c r="E6" s="802"/>
      <c r="F6" s="668">
        <v>3</v>
      </c>
      <c r="G6" s="668"/>
      <c r="H6" s="543"/>
      <c r="I6" s="668"/>
      <c r="J6" s="668">
        <v>4</v>
      </c>
      <c r="K6" s="668">
        <v>5</v>
      </c>
      <c r="L6" s="668">
        <v>6</v>
      </c>
      <c r="M6" s="668"/>
      <c r="N6" s="668">
        <v>7</v>
      </c>
      <c r="O6" s="544">
        <v>8</v>
      </c>
    </row>
    <row r="7" spans="1:16" s="302" customFormat="1" ht="37.5" x14ac:dyDescent="0.3">
      <c r="A7" s="796"/>
      <c r="B7" s="799"/>
      <c r="C7" s="304" t="s">
        <v>667</v>
      </c>
      <c r="D7" s="669" t="s">
        <v>492</v>
      </c>
      <c r="E7" s="669" t="s">
        <v>240</v>
      </c>
      <c r="F7" s="304" t="s">
        <v>668</v>
      </c>
      <c r="G7" s="304"/>
      <c r="H7" s="305" t="s">
        <v>119</v>
      </c>
      <c r="I7" s="669"/>
      <c r="J7" s="304" t="str">
        <f>C7</f>
        <v>AS ON 
01.04.2024</v>
      </c>
      <c r="K7" s="306" t="s">
        <v>491</v>
      </c>
      <c r="L7" s="304" t="str">
        <f>F7</f>
        <v>AS ON 
31.03.2025</v>
      </c>
      <c r="M7" s="669"/>
      <c r="N7" s="304" t="str">
        <f>C7</f>
        <v>AS ON 
01.04.2024</v>
      </c>
      <c r="O7" s="307" t="str">
        <f>F7</f>
        <v>AS ON 
31.03.2025</v>
      </c>
    </row>
    <row r="8" spans="1:16" s="303" customFormat="1" ht="60" customHeight="1" x14ac:dyDescent="0.3">
      <c r="A8" s="674">
        <v>1</v>
      </c>
      <c r="B8" s="675" t="s">
        <v>38</v>
      </c>
      <c r="C8" s="313">
        <f>+'MBA DEP-2425'!C14</f>
        <v>45353503</v>
      </c>
      <c r="D8" s="313">
        <f>+'MBA DEP-2425'!D14</f>
        <v>417270</v>
      </c>
      <c r="E8" s="313">
        <v>0</v>
      </c>
      <c r="F8" s="313">
        <f>+'MBA DEP-2425'!E14</f>
        <v>45770773</v>
      </c>
      <c r="G8" s="313"/>
      <c r="H8" s="305" t="s">
        <v>490</v>
      </c>
      <c r="I8" s="669"/>
      <c r="J8" s="313">
        <f>+'MBA DEP-2425'!I14</f>
        <v>36849108</v>
      </c>
      <c r="K8" s="313">
        <f>+'MBA DEP-2425'!J14</f>
        <v>876963</v>
      </c>
      <c r="L8" s="313">
        <f>+'MBA DEP-2425'!K14</f>
        <v>37726071</v>
      </c>
      <c r="M8" s="314"/>
      <c r="N8" s="313">
        <f>+'MBA DEP-2425'!M14</f>
        <v>8504395</v>
      </c>
      <c r="O8" s="315">
        <f>+'MBA DEP-2425'!N14</f>
        <v>8044702</v>
      </c>
    </row>
    <row r="9" spans="1:16" s="303" customFormat="1" ht="60" customHeight="1" x14ac:dyDescent="0.3">
      <c r="A9" s="674">
        <v>2</v>
      </c>
      <c r="B9" s="676" t="s">
        <v>676</v>
      </c>
      <c r="C9" s="313">
        <f>+'MBA DEP-2425'!C17</f>
        <v>4512450</v>
      </c>
      <c r="D9" s="313">
        <f>+'MBA DEP-2425'!D17</f>
        <v>479264</v>
      </c>
      <c r="E9" s="317">
        <v>0</v>
      </c>
      <c r="F9" s="313">
        <f>+'MBA DEP-2425'!E17</f>
        <v>4991714</v>
      </c>
      <c r="G9" s="313"/>
      <c r="H9" s="305" t="s">
        <v>490</v>
      </c>
      <c r="I9" s="669"/>
      <c r="J9" s="313">
        <f>+'MBA DEP-2425'!I17</f>
        <v>2959510</v>
      </c>
      <c r="K9" s="313">
        <f>+'MBA DEP-2425'!J17</f>
        <v>179258</v>
      </c>
      <c r="L9" s="313">
        <f>+'MBA DEP-2425'!K17</f>
        <v>3138768</v>
      </c>
      <c r="M9" s="314"/>
      <c r="N9" s="313">
        <f>+'MBA DEP-2425'!M17</f>
        <v>1552940</v>
      </c>
      <c r="O9" s="315">
        <f>+'MBA DEP-2425'!N17</f>
        <v>1852946</v>
      </c>
      <c r="P9" s="308"/>
    </row>
    <row r="10" spans="1:16" s="303" customFormat="1" ht="60" customHeight="1" x14ac:dyDescent="0.3">
      <c r="A10" s="674">
        <v>3</v>
      </c>
      <c r="B10" s="676" t="s">
        <v>677</v>
      </c>
      <c r="C10" s="313">
        <f>+'MBA DEP-2425'!C59</f>
        <v>22034667.890000001</v>
      </c>
      <c r="D10" s="313">
        <f>+'MBA DEP-2425'!D59</f>
        <v>286116</v>
      </c>
      <c r="E10" s="313">
        <v>0</v>
      </c>
      <c r="F10" s="313">
        <f>+'MBA DEP-2425'!E59</f>
        <v>22320783.890000001</v>
      </c>
      <c r="G10" s="313"/>
      <c r="H10" s="305" t="s">
        <v>489</v>
      </c>
      <c r="I10" s="316"/>
      <c r="J10" s="313">
        <f>+'MBA DEP-2425'!I59</f>
        <v>13874965</v>
      </c>
      <c r="K10" s="313">
        <f>+'MBA DEP-2425'!J59</f>
        <v>1245417</v>
      </c>
      <c r="L10" s="313">
        <f>+'MBA DEP-2425'!K59</f>
        <v>15120382</v>
      </c>
      <c r="M10" s="314"/>
      <c r="N10" s="313">
        <f>+'MBA DEP-2425'!M59</f>
        <v>8159702.8899999997</v>
      </c>
      <c r="O10" s="315">
        <f>+'MBA DEP-2425'!N59</f>
        <v>7200401.8899999997</v>
      </c>
      <c r="P10" s="308"/>
    </row>
    <row r="11" spans="1:16" s="303" customFormat="1" ht="60" customHeight="1" x14ac:dyDescent="0.3">
      <c r="A11" s="674">
        <v>4</v>
      </c>
      <c r="B11" s="677" t="s">
        <v>678</v>
      </c>
      <c r="C11" s="313">
        <f>+'MBA DEP-2425'!C62</f>
        <v>334600</v>
      </c>
      <c r="D11" s="313">
        <f>+'MBA DEP-2425'!D62</f>
        <v>239559</v>
      </c>
      <c r="E11" s="313">
        <v>0</v>
      </c>
      <c r="F11" s="313">
        <f>+'MBA DEP-2425'!E62</f>
        <v>574159</v>
      </c>
      <c r="G11" s="313"/>
      <c r="H11" s="305" t="s">
        <v>489</v>
      </c>
      <c r="I11" s="316"/>
      <c r="J11" s="313">
        <f>+'MBA DEP-2425'!I62</f>
        <v>330905</v>
      </c>
      <c r="K11" s="313">
        <f>+'MBA DEP-2425'!J62</f>
        <v>36488</v>
      </c>
      <c r="L11" s="313">
        <f>+'MBA DEP-2425'!K62</f>
        <v>367393</v>
      </c>
      <c r="M11" s="314"/>
      <c r="N11" s="313">
        <f>+'MBA DEP-2425'!M62</f>
        <v>3695</v>
      </c>
      <c r="O11" s="315">
        <f>+'MBA DEP-2425'!N62</f>
        <v>206766</v>
      </c>
    </row>
    <row r="12" spans="1:16" s="303" customFormat="1" ht="60" customHeight="1" x14ac:dyDescent="0.3">
      <c r="A12" s="674">
        <v>5</v>
      </c>
      <c r="B12" s="677" t="s">
        <v>679</v>
      </c>
      <c r="C12" s="313">
        <f>+'MBA DEP-2425'!C68</f>
        <v>15735004</v>
      </c>
      <c r="D12" s="313">
        <f>+'MBA DEP-2425'!D68</f>
        <v>210960</v>
      </c>
      <c r="E12" s="313">
        <v>0</v>
      </c>
      <c r="F12" s="313">
        <f>+'MBA DEP-2425'!E68</f>
        <v>15945964</v>
      </c>
      <c r="G12" s="313"/>
      <c r="H12" s="305" t="s">
        <v>634</v>
      </c>
      <c r="I12" s="316"/>
      <c r="J12" s="313">
        <f>+'MBA DEP-2425'!I68</f>
        <v>14609633</v>
      </c>
      <c r="K12" s="313">
        <f>+'MBA DEP-2425'!J68</f>
        <v>489178</v>
      </c>
      <c r="L12" s="313">
        <f>+'MBA DEP-2425'!K68</f>
        <v>15098811</v>
      </c>
      <c r="M12" s="313"/>
      <c r="N12" s="313">
        <f>+'MBA DEP-2425'!M68</f>
        <v>1125371</v>
      </c>
      <c r="O12" s="315">
        <f>+'MBA DEP-2425'!N68</f>
        <v>847153</v>
      </c>
    </row>
    <row r="13" spans="1:16" s="303" customFormat="1" ht="60" customHeight="1" x14ac:dyDescent="0.3">
      <c r="A13" s="674">
        <v>6</v>
      </c>
      <c r="B13" s="678" t="s">
        <v>680</v>
      </c>
      <c r="C13" s="313">
        <f>+'MBA DEP-2425'!C70</f>
        <v>5222518</v>
      </c>
      <c r="D13" s="313">
        <f>+'MBA DEP-2425'!D70</f>
        <v>0</v>
      </c>
      <c r="E13" s="313">
        <v>0</v>
      </c>
      <c r="F13" s="313">
        <f>+'MBA DEP-2425'!E70</f>
        <v>5222518</v>
      </c>
      <c r="G13" s="313"/>
      <c r="H13" s="305" t="s">
        <v>634</v>
      </c>
      <c r="I13" s="318"/>
      <c r="J13" s="313">
        <f>+'MBA DEP-2425'!I70</f>
        <v>4874357</v>
      </c>
      <c r="K13" s="313">
        <f>+'MBA DEP-2425'!J70</f>
        <v>139264</v>
      </c>
      <c r="L13" s="313">
        <f>+'MBA DEP-2425'!K70</f>
        <v>5013621</v>
      </c>
      <c r="M13" s="313"/>
      <c r="N13" s="313">
        <f>+'MBA DEP-2425'!M70</f>
        <v>348161</v>
      </c>
      <c r="O13" s="315">
        <f>+'MBA DEP-2425'!N70</f>
        <v>208897</v>
      </c>
    </row>
    <row r="14" spans="1:16" s="303" customFormat="1" ht="50.1" customHeight="1" thickBot="1" x14ac:dyDescent="0.35">
      <c r="A14" s="681"/>
      <c r="B14" s="682" t="s">
        <v>488</v>
      </c>
      <c r="C14" s="683">
        <f>+SUM(C8:C13)</f>
        <v>93192742.890000001</v>
      </c>
      <c r="D14" s="683">
        <f t="shared" ref="D14:F14" si="0">+SUM(D8:D13)</f>
        <v>1633169</v>
      </c>
      <c r="E14" s="683">
        <f t="shared" si="0"/>
        <v>0</v>
      </c>
      <c r="F14" s="683">
        <f t="shared" si="0"/>
        <v>94825911.890000001</v>
      </c>
      <c r="G14" s="683"/>
      <c r="H14" s="684"/>
      <c r="I14" s="685"/>
      <c r="J14" s="683">
        <f t="shared" ref="J14:L14" si="1">+SUM(J8:J13)</f>
        <v>73498478</v>
      </c>
      <c r="K14" s="683">
        <f t="shared" si="1"/>
        <v>2966568</v>
      </c>
      <c r="L14" s="683">
        <f t="shared" si="1"/>
        <v>76465046</v>
      </c>
      <c r="M14" s="683"/>
      <c r="N14" s="683">
        <f t="shared" ref="N14:O14" si="2">+SUM(N8:N13)</f>
        <v>19694264.890000001</v>
      </c>
      <c r="O14" s="686">
        <f t="shared" si="2"/>
        <v>18360865.890000001</v>
      </c>
    </row>
    <row r="15" spans="1:16" s="303" customFormat="1" ht="18.75" x14ac:dyDescent="0.3">
      <c r="A15" s="319"/>
      <c r="B15" s="320"/>
      <c r="C15" s="320"/>
      <c r="D15" s="320"/>
      <c r="E15" s="320"/>
      <c r="F15" s="320"/>
      <c r="G15" s="320"/>
      <c r="H15" s="320"/>
      <c r="I15" s="320"/>
      <c r="J15" s="320"/>
      <c r="K15" s="320"/>
      <c r="L15" s="320"/>
      <c r="M15" s="320"/>
      <c r="N15" s="320"/>
      <c r="O15" s="320"/>
    </row>
    <row r="16" spans="1:16" s="310" customFormat="1" ht="18.75" x14ac:dyDescent="0.2">
      <c r="A16" s="661"/>
      <c r="B16" s="320"/>
      <c r="C16" s="320"/>
      <c r="D16" s="320"/>
      <c r="E16" s="320"/>
      <c r="F16" s="320"/>
      <c r="G16" s="320"/>
      <c r="H16" s="320"/>
      <c r="I16" s="320"/>
      <c r="J16" s="320"/>
      <c r="K16" s="320"/>
      <c r="L16" s="320"/>
      <c r="M16" s="320"/>
      <c r="N16" s="320"/>
      <c r="O16" s="320"/>
    </row>
    <row r="17" spans="1:15" s="310" customFormat="1" x14ac:dyDescent="0.2">
      <c r="A17" s="662"/>
      <c r="B17" s="601"/>
      <c r="C17" s="602"/>
      <c r="D17" s="602"/>
      <c r="E17" s="603"/>
      <c r="F17" s="602"/>
      <c r="G17" s="602"/>
      <c r="H17" s="604"/>
      <c r="I17" s="601"/>
      <c r="J17" s="602"/>
      <c r="K17" s="602"/>
      <c r="L17" s="784" t="s">
        <v>620</v>
      </c>
      <c r="M17" s="784"/>
      <c r="N17" s="784"/>
      <c r="O17" s="784"/>
    </row>
    <row r="18" spans="1:15" s="310" customFormat="1" x14ac:dyDescent="0.2">
      <c r="A18" s="662"/>
      <c r="B18" s="601"/>
      <c r="C18" s="601"/>
      <c r="D18" s="603"/>
      <c r="E18" s="603"/>
      <c r="F18" s="603"/>
      <c r="G18" s="603"/>
      <c r="H18" s="604"/>
      <c r="I18" s="601"/>
      <c r="J18" s="605"/>
      <c r="K18" s="603"/>
      <c r="L18" s="784" t="s">
        <v>681</v>
      </c>
      <c r="M18" s="784"/>
      <c r="N18" s="784"/>
      <c r="O18" s="784"/>
    </row>
    <row r="19" spans="1:15" s="310" customFormat="1" x14ac:dyDescent="0.2">
      <c r="A19" s="662"/>
      <c r="B19" s="601"/>
      <c r="C19" s="601"/>
      <c r="D19" s="603"/>
      <c r="E19" s="603"/>
      <c r="F19" s="603"/>
      <c r="G19" s="603"/>
      <c r="H19" s="604"/>
      <c r="I19" s="601"/>
      <c r="J19" s="605"/>
      <c r="K19" s="603"/>
      <c r="L19" s="784" t="s">
        <v>416</v>
      </c>
      <c r="M19" s="784"/>
      <c r="N19" s="784"/>
      <c r="O19" s="784"/>
    </row>
    <row r="20" spans="1:15" s="310" customFormat="1" x14ac:dyDescent="0.25">
      <c r="A20" s="662"/>
      <c r="B20" s="670" t="s">
        <v>682</v>
      </c>
      <c r="C20" s="784" t="s">
        <v>683</v>
      </c>
      <c r="D20" s="784"/>
      <c r="E20" s="666"/>
      <c r="F20" s="601"/>
      <c r="G20" s="601"/>
      <c r="H20" s="604"/>
      <c r="I20" s="601"/>
      <c r="J20" s="605"/>
      <c r="K20" s="603"/>
      <c r="L20" s="784" t="s">
        <v>684</v>
      </c>
      <c r="M20" s="784"/>
      <c r="N20" s="784"/>
      <c r="O20" s="784"/>
    </row>
    <row r="21" spans="1:15" s="310" customFormat="1" x14ac:dyDescent="0.25">
      <c r="A21" s="662"/>
      <c r="B21" s="670" t="s">
        <v>671</v>
      </c>
      <c r="C21" s="784" t="s">
        <v>621</v>
      </c>
      <c r="D21" s="784"/>
      <c r="E21" s="666"/>
      <c r="F21" s="601"/>
      <c r="G21" s="601"/>
      <c r="H21" s="604"/>
      <c r="I21" s="601"/>
      <c r="J21" s="605"/>
      <c r="K21" s="603"/>
      <c r="L21" s="666"/>
      <c r="M21" s="666"/>
      <c r="N21" s="666"/>
      <c r="O21" s="666"/>
    </row>
    <row r="22" spans="1:15" s="310" customFormat="1" x14ac:dyDescent="0.25">
      <c r="A22" s="662"/>
      <c r="B22" s="670"/>
      <c r="C22" s="601"/>
      <c r="D22" s="603"/>
      <c r="E22" s="603"/>
      <c r="F22" s="601"/>
      <c r="G22" s="601"/>
      <c r="H22" s="604"/>
      <c r="I22" s="601"/>
      <c r="J22" s="601"/>
      <c r="K22" s="603"/>
      <c r="L22" s="666"/>
      <c r="M22" s="666"/>
      <c r="N22" s="666"/>
      <c r="O22" s="666"/>
    </row>
    <row r="23" spans="1:15" s="310" customFormat="1" x14ac:dyDescent="0.2">
      <c r="A23" s="662"/>
      <c r="B23" s="670"/>
      <c r="C23" s="601"/>
      <c r="D23" s="603"/>
      <c r="E23" s="603"/>
      <c r="F23" s="601"/>
      <c r="G23" s="601"/>
      <c r="H23" s="604"/>
      <c r="I23" s="601"/>
      <c r="J23" s="603"/>
      <c r="K23" s="603"/>
      <c r="L23" s="601"/>
      <c r="M23" s="601"/>
      <c r="N23" s="601"/>
      <c r="O23" s="601"/>
    </row>
    <row r="24" spans="1:15" s="310" customFormat="1" x14ac:dyDescent="0.2">
      <c r="A24" s="662"/>
      <c r="B24" s="670"/>
      <c r="C24" s="601"/>
      <c r="D24" s="603"/>
      <c r="E24" s="603"/>
      <c r="F24" s="601"/>
      <c r="G24" s="601"/>
      <c r="H24" s="604"/>
      <c r="I24" s="601"/>
      <c r="J24" s="603"/>
      <c r="K24" s="603"/>
      <c r="L24" s="601"/>
      <c r="M24" s="601"/>
      <c r="N24" s="601"/>
      <c r="O24" s="601"/>
    </row>
    <row r="25" spans="1:15" s="310" customFormat="1" x14ac:dyDescent="0.2">
      <c r="A25" s="662"/>
      <c r="B25" s="670"/>
      <c r="C25" s="601"/>
      <c r="D25" s="603"/>
      <c r="E25" s="603"/>
      <c r="F25" s="601"/>
      <c r="G25" s="601"/>
      <c r="H25" s="604"/>
      <c r="I25" s="601"/>
      <c r="J25" s="603"/>
      <c r="K25" s="603"/>
      <c r="L25" s="601"/>
      <c r="M25" s="601"/>
      <c r="N25" s="601"/>
      <c r="O25" s="601"/>
    </row>
    <row r="26" spans="1:15" s="310" customFormat="1" x14ac:dyDescent="0.2">
      <c r="A26" s="662"/>
      <c r="B26" s="670"/>
      <c r="C26" s="601"/>
      <c r="D26" s="603"/>
      <c r="E26" s="603"/>
      <c r="F26" s="601"/>
      <c r="G26" s="601"/>
      <c r="H26" s="604"/>
      <c r="I26" s="601"/>
      <c r="J26" s="603"/>
      <c r="K26" s="603"/>
      <c r="L26" s="601"/>
      <c r="M26" s="601"/>
      <c r="N26" s="601"/>
      <c r="O26" s="601"/>
    </row>
    <row r="27" spans="1:15" s="310" customFormat="1" x14ac:dyDescent="0.25">
      <c r="A27" s="662"/>
      <c r="B27" s="777" t="s">
        <v>685</v>
      </c>
      <c r="C27" s="777"/>
      <c r="D27" s="777"/>
      <c r="E27" s="666"/>
      <c r="F27" s="603"/>
      <c r="G27" s="603"/>
      <c r="H27" s="604"/>
      <c r="I27" s="601"/>
      <c r="J27" s="603" t="s">
        <v>487</v>
      </c>
      <c r="K27" s="603"/>
      <c r="L27" s="784" t="s">
        <v>686</v>
      </c>
      <c r="M27" s="784"/>
      <c r="N27" s="784"/>
      <c r="O27" s="784"/>
    </row>
    <row r="28" spans="1:15" s="310" customFormat="1" x14ac:dyDescent="0.25">
      <c r="A28" s="662"/>
      <c r="B28" s="777" t="s">
        <v>622</v>
      </c>
      <c r="C28" s="777"/>
      <c r="D28" s="777"/>
      <c r="E28" s="666"/>
      <c r="F28" s="603"/>
      <c r="G28" s="603"/>
      <c r="H28" s="604"/>
      <c r="I28" s="601"/>
      <c r="J28" s="603" t="s">
        <v>690</v>
      </c>
      <c r="K28" s="603"/>
      <c r="L28" s="784" t="s">
        <v>687</v>
      </c>
      <c r="M28" s="784"/>
      <c r="N28" s="784"/>
      <c r="O28" s="784"/>
    </row>
    <row r="29" spans="1:15" s="310" customFormat="1" x14ac:dyDescent="0.2">
      <c r="A29" s="662"/>
      <c r="B29" s="601"/>
      <c r="C29" s="601"/>
      <c r="D29" s="601"/>
      <c r="E29" s="601"/>
      <c r="F29" s="601"/>
      <c r="G29" s="601"/>
      <c r="H29" s="604"/>
      <c r="I29" s="601"/>
      <c r="J29" s="601"/>
      <c r="K29" s="603"/>
      <c r="L29" s="784" t="s">
        <v>688</v>
      </c>
      <c r="M29" s="784"/>
      <c r="N29" s="784"/>
      <c r="O29" s="784"/>
    </row>
    <row r="30" spans="1:15" ht="18.75" x14ac:dyDescent="0.3">
      <c r="A30" s="663"/>
      <c r="B30" s="663"/>
      <c r="C30" s="303"/>
      <c r="D30" s="303"/>
      <c r="E30" s="303"/>
      <c r="F30" s="303"/>
      <c r="G30" s="303"/>
      <c r="H30" s="303"/>
      <c r="I30" s="303"/>
      <c r="J30" s="303"/>
      <c r="K30" s="679"/>
      <c r="L30" s="303"/>
      <c r="M30" s="303"/>
      <c r="N30" s="303"/>
      <c r="O30" s="680"/>
    </row>
    <row r="31" spans="1:15" ht="18.75" x14ac:dyDescent="0.3">
      <c r="A31" s="679"/>
      <c r="B31" s="303"/>
      <c r="C31" s="680"/>
      <c r="D31" s="303"/>
      <c r="E31" s="303"/>
      <c r="F31" s="303"/>
      <c r="G31" s="303"/>
      <c r="H31" s="303"/>
      <c r="I31" s="303"/>
      <c r="J31" s="303"/>
      <c r="K31" s="679"/>
      <c r="L31" s="303"/>
      <c r="M31" s="303"/>
      <c r="N31" s="303"/>
      <c r="O31" s="308"/>
    </row>
    <row r="32" spans="1:15" s="303" customFormat="1" ht="18.75" x14ac:dyDescent="0.3">
      <c r="A32" s="321"/>
      <c r="B32" s="321"/>
      <c r="D32" s="322"/>
      <c r="E32" s="322"/>
      <c r="F32" s="322"/>
      <c r="G32" s="322"/>
      <c r="H32" s="323"/>
      <c r="I32" s="322"/>
      <c r="J32" s="322"/>
      <c r="K32" s="324"/>
      <c r="L32" s="322"/>
      <c r="M32" s="322"/>
      <c r="N32" s="322"/>
      <c r="O32" s="325"/>
    </row>
    <row r="33" spans="1:15" s="303" customFormat="1" ht="18.75" x14ac:dyDescent="0.3">
      <c r="A33" s="324"/>
      <c r="B33" s="322"/>
      <c r="D33" s="322"/>
      <c r="E33" s="322"/>
      <c r="F33" s="322"/>
      <c r="G33" s="322"/>
      <c r="H33" s="323"/>
      <c r="I33" s="322"/>
      <c r="J33" s="322"/>
      <c r="K33" s="324"/>
      <c r="L33" s="322"/>
      <c r="M33" s="322"/>
      <c r="N33" s="322"/>
      <c r="O33" s="326"/>
    </row>
    <row r="34" spans="1:15" s="303" customFormat="1" ht="18.75" x14ac:dyDescent="0.3">
      <c r="A34" s="324"/>
      <c r="B34" s="324"/>
      <c r="C34" s="324"/>
      <c r="D34" s="324"/>
      <c r="E34" s="324"/>
      <c r="F34" s="322"/>
      <c r="G34" s="322"/>
      <c r="H34" s="323"/>
      <c r="I34" s="322"/>
      <c r="J34" s="322"/>
      <c r="K34" s="324"/>
      <c r="L34" s="322"/>
      <c r="M34" s="322"/>
      <c r="N34" s="322"/>
      <c r="O34" s="322"/>
    </row>
    <row r="35" spans="1:15" s="303" customFormat="1" ht="18.75" x14ac:dyDescent="0.3">
      <c r="A35" s="321"/>
      <c r="B35" s="322"/>
      <c r="C35" s="322"/>
      <c r="D35" s="324"/>
      <c r="E35" s="324"/>
      <c r="F35" s="324"/>
      <c r="G35" s="324"/>
      <c r="H35" s="323"/>
      <c r="I35" s="322"/>
      <c r="J35" s="322"/>
      <c r="K35" s="324"/>
      <c r="L35" s="322"/>
      <c r="M35" s="322"/>
      <c r="N35" s="322"/>
      <c r="O35" s="322"/>
    </row>
    <row r="36" spans="1:15" x14ac:dyDescent="0.25">
      <c r="E36" s="210"/>
    </row>
    <row r="37" spans="1:15" x14ac:dyDescent="0.25">
      <c r="E37" s="210"/>
      <c r="J37" s="210">
        <f>+E37-F37</f>
        <v>0</v>
      </c>
    </row>
  </sheetData>
  <mergeCells count="20">
    <mergeCell ref="B27:D27"/>
    <mergeCell ref="L27:O27"/>
    <mergeCell ref="B28:D28"/>
    <mergeCell ref="L28:O28"/>
    <mergeCell ref="L29:O29"/>
    <mergeCell ref="C21:D21"/>
    <mergeCell ref="A1:O1"/>
    <mergeCell ref="A2:O2"/>
    <mergeCell ref="A3:O3"/>
    <mergeCell ref="A5:A7"/>
    <mergeCell ref="B5:B7"/>
    <mergeCell ref="C5:F5"/>
    <mergeCell ref="J5:L5"/>
    <mergeCell ref="N5:O5"/>
    <mergeCell ref="D6:E6"/>
    <mergeCell ref="L17:O17"/>
    <mergeCell ref="L18:O18"/>
    <mergeCell ref="L19:O19"/>
    <mergeCell ref="C20:D20"/>
    <mergeCell ref="L20:O2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08"/>
  <sheetViews>
    <sheetView topLeftCell="A109" workbookViewId="0">
      <selection activeCell="A50" sqref="A50"/>
    </sheetView>
  </sheetViews>
  <sheetFormatPr defaultColWidth="9.140625" defaultRowHeight="12.75" x14ac:dyDescent="0.2"/>
  <cols>
    <col min="1" max="1" width="4.42578125" style="1" customWidth="1"/>
    <col min="2" max="2" width="43.85546875" style="1" customWidth="1"/>
    <col min="3" max="3" width="22.28515625" style="1" customWidth="1"/>
    <col min="4" max="4" width="16.85546875" style="588" bestFit="1" customWidth="1"/>
    <col min="5" max="5" width="2.42578125" style="391" customWidth="1"/>
    <col min="6" max="6" width="16.85546875" style="390" bestFit="1" customWidth="1"/>
    <col min="7" max="8" width="9.140625" style="1"/>
    <col min="9" max="9" width="11" style="1" bestFit="1" customWidth="1"/>
    <col min="10" max="10" width="9.5703125" style="1" bestFit="1" customWidth="1"/>
    <col min="11" max="16384" width="9.140625" style="1"/>
  </cols>
  <sheetData>
    <row r="1" spans="1:7" x14ac:dyDescent="0.2">
      <c r="A1" s="805" t="s">
        <v>560</v>
      </c>
      <c r="B1" s="805"/>
      <c r="C1" s="805"/>
      <c r="D1" s="805"/>
      <c r="E1" s="805"/>
      <c r="F1" s="805"/>
      <c r="G1"/>
    </row>
    <row r="2" spans="1:7" ht="14.25" x14ac:dyDescent="0.2">
      <c r="A2" s="806" t="str">
        <f>'MBA BS'!A2:E2</f>
        <v>M.B.A PROGRAMME</v>
      </c>
      <c r="B2" s="806"/>
      <c r="C2" s="806"/>
      <c r="D2" s="806"/>
      <c r="E2" s="806"/>
      <c r="F2" s="806"/>
      <c r="G2"/>
    </row>
    <row r="3" spans="1:7" ht="15" customHeight="1" thickBot="1" x14ac:dyDescent="0.25">
      <c r="A3" s="749" t="s">
        <v>561</v>
      </c>
      <c r="B3" s="749"/>
      <c r="C3" s="749"/>
      <c r="D3" s="749"/>
      <c r="E3" s="749"/>
      <c r="F3" s="749"/>
      <c r="G3"/>
    </row>
    <row r="4" spans="1:7" ht="15.75" x14ac:dyDescent="0.2">
      <c r="A4" s="368"/>
      <c r="B4" s="753" t="s">
        <v>422</v>
      </c>
      <c r="C4" s="754"/>
      <c r="D4" s="570" t="s">
        <v>2</v>
      </c>
      <c r="E4" s="474"/>
      <c r="F4" s="475" t="s">
        <v>2</v>
      </c>
      <c r="G4" s="368"/>
    </row>
    <row r="5" spans="1:7" ht="15.75" x14ac:dyDescent="0.2">
      <c r="A5" s="368"/>
      <c r="B5" s="755"/>
      <c r="C5" s="756"/>
      <c r="D5" s="571" t="str">
        <f>'MCA Schedules'!D5</f>
        <v>31.03.2025</v>
      </c>
      <c r="E5" s="373"/>
      <c r="F5" s="476" t="str">
        <f>'MCA Schedules'!F5</f>
        <v>31.03.2024</v>
      </c>
      <c r="G5" s="368"/>
    </row>
    <row r="6" spans="1:7" ht="16.5" thickBot="1" x14ac:dyDescent="0.25">
      <c r="A6" s="368"/>
      <c r="B6" s="755"/>
      <c r="C6" s="756"/>
      <c r="D6" s="572" t="s">
        <v>592</v>
      </c>
      <c r="E6" s="373"/>
      <c r="F6" s="477" t="s">
        <v>495</v>
      </c>
      <c r="G6" s="368"/>
    </row>
    <row r="7" spans="1:7" ht="15.75" x14ac:dyDescent="0.2">
      <c r="A7" s="368"/>
      <c r="B7" s="478" t="s">
        <v>453</v>
      </c>
      <c r="C7" s="355"/>
      <c r="D7" s="573"/>
      <c r="E7" s="374"/>
      <c r="F7" s="479"/>
      <c r="G7" s="368"/>
    </row>
    <row r="8" spans="1:7" ht="15.75" x14ac:dyDescent="0.2">
      <c r="A8" s="368"/>
      <c r="B8" s="356" t="s">
        <v>555</v>
      </c>
      <c r="C8" s="721"/>
      <c r="D8" s="568">
        <v>43512523.780000001</v>
      </c>
      <c r="E8" s="376"/>
      <c r="F8" s="607">
        <v>36825023.539999999</v>
      </c>
      <c r="G8" s="368"/>
    </row>
    <row r="9" spans="1:7" ht="15.75" customHeight="1" x14ac:dyDescent="0.2">
      <c r="A9" s="368"/>
      <c r="B9" s="357"/>
      <c r="C9" s="719"/>
      <c r="D9" s="568"/>
      <c r="E9" s="376"/>
      <c r="F9" s="481"/>
      <c r="G9" s="368"/>
    </row>
    <row r="10" spans="1:7" ht="16.5" thickBot="1" x14ac:dyDescent="0.25">
      <c r="A10" s="368"/>
      <c r="B10" s="357"/>
      <c r="C10" s="719"/>
      <c r="D10" s="574">
        <f>SUM(D7:D9)</f>
        <v>43512523.780000001</v>
      </c>
      <c r="E10" s="532"/>
      <c r="F10" s="487">
        <f>SUM(F7:F9)</f>
        <v>36825023.539999999</v>
      </c>
      <c r="G10" s="368"/>
    </row>
    <row r="11" spans="1:7" ht="15.75" x14ac:dyDescent="0.2">
      <c r="A11" s="368"/>
      <c r="B11" s="359" t="s">
        <v>563</v>
      </c>
      <c r="C11" s="719"/>
      <c r="D11" s="568"/>
      <c r="E11" s="375"/>
      <c r="F11" s="481"/>
      <c r="G11" s="368"/>
    </row>
    <row r="12" spans="1:7" ht="15.75" x14ac:dyDescent="0.2">
      <c r="A12" s="368"/>
      <c r="B12" s="357" t="s">
        <v>658</v>
      </c>
      <c r="C12" s="719"/>
      <c r="D12" s="582">
        <f>'MBA PL '!C35</f>
        <v>-6375730.5900000036</v>
      </c>
      <c r="E12" s="655"/>
      <c r="F12" s="656">
        <f>'MBA PL '!E35</f>
        <v>6687500.1900000051</v>
      </c>
      <c r="G12" s="368"/>
    </row>
    <row r="13" spans="1:7" ht="16.5" thickBot="1" x14ac:dyDescent="0.25">
      <c r="A13" s="368"/>
      <c r="B13" s="357"/>
      <c r="C13" s="719"/>
      <c r="D13" s="574">
        <f>SUM(D12:D12)</f>
        <v>-6375730.5900000036</v>
      </c>
      <c r="E13" s="533"/>
      <c r="F13" s="722">
        <f>SUM(F12:F12)</f>
        <v>6687500.1900000051</v>
      </c>
      <c r="G13" s="368"/>
    </row>
    <row r="14" spans="1:7" ht="15.75" x14ac:dyDescent="0.2">
      <c r="A14" s="368"/>
      <c r="B14" s="359" t="s">
        <v>456</v>
      </c>
      <c r="C14" s="719"/>
      <c r="D14" s="568"/>
      <c r="E14" s="376"/>
      <c r="F14" s="481"/>
      <c r="G14" s="368"/>
    </row>
    <row r="15" spans="1:7" ht="15.75" x14ac:dyDescent="0.2">
      <c r="A15" s="368"/>
      <c r="B15" s="357" t="s">
        <v>496</v>
      </c>
      <c r="C15" s="360"/>
      <c r="D15" s="568">
        <v>0</v>
      </c>
      <c r="E15" s="377"/>
      <c r="F15" s="480">
        <v>0</v>
      </c>
      <c r="G15" s="368"/>
    </row>
    <row r="16" spans="1:7" ht="15.75" x14ac:dyDescent="0.2">
      <c r="A16" s="368"/>
      <c r="B16" s="357" t="s">
        <v>454</v>
      </c>
      <c r="C16" s="360"/>
      <c r="D16" s="569">
        <v>0</v>
      </c>
      <c r="E16" s="376"/>
      <c r="F16" s="481">
        <v>0</v>
      </c>
      <c r="G16" s="368"/>
    </row>
    <row r="17" spans="1:7" ht="16.5" thickBot="1" x14ac:dyDescent="0.25">
      <c r="A17" s="368"/>
      <c r="B17" s="359"/>
      <c r="C17" s="719"/>
      <c r="D17" s="574">
        <f>SUM(D15:D16)</f>
        <v>0</v>
      </c>
      <c r="E17" s="533"/>
      <c r="F17" s="487">
        <f>SUM(F15:F16)</f>
        <v>0</v>
      </c>
      <c r="G17" s="368"/>
    </row>
    <row r="18" spans="1:7" ht="15.75" x14ac:dyDescent="0.2">
      <c r="A18" s="368"/>
      <c r="B18" s="359" t="s">
        <v>594</v>
      </c>
      <c r="C18" s="719"/>
      <c r="D18" s="568"/>
      <c r="E18" s="376"/>
      <c r="F18" s="481"/>
      <c r="G18" s="368"/>
    </row>
    <row r="19" spans="1:7" ht="15.75" x14ac:dyDescent="0.2">
      <c r="A19" s="368"/>
      <c r="B19" s="357" t="s">
        <v>455</v>
      </c>
      <c r="C19" s="361"/>
      <c r="D19" s="568">
        <v>0</v>
      </c>
      <c r="E19" s="376"/>
      <c r="F19" s="607">
        <v>0</v>
      </c>
      <c r="G19" s="368"/>
    </row>
    <row r="20" spans="1:7" ht="15.75" x14ac:dyDescent="0.2">
      <c r="A20" s="368"/>
      <c r="B20" s="357"/>
      <c r="C20" s="361"/>
      <c r="D20" s="575"/>
      <c r="E20" s="376"/>
      <c r="F20" s="480"/>
      <c r="G20" s="368"/>
    </row>
    <row r="21" spans="1:7" ht="15.75" x14ac:dyDescent="0.2">
      <c r="A21" s="368"/>
      <c r="B21" s="357"/>
      <c r="C21" s="361"/>
      <c r="D21" s="576">
        <f>SUM(D19:D20)</f>
        <v>0</v>
      </c>
      <c r="E21" s="491"/>
      <c r="F21" s="482">
        <f>SUM(F19:F20)</f>
        <v>0</v>
      </c>
      <c r="G21" s="368"/>
    </row>
    <row r="22" spans="1:7" ht="15.75" x14ac:dyDescent="0.2">
      <c r="A22" s="368"/>
      <c r="B22" s="803" t="s">
        <v>564</v>
      </c>
      <c r="C22" s="804"/>
      <c r="D22" s="577"/>
      <c r="E22" s="376"/>
      <c r="F22" s="480"/>
      <c r="G22" s="368"/>
    </row>
    <row r="23" spans="1:7" ht="15.75" x14ac:dyDescent="0.2">
      <c r="A23" s="368"/>
      <c r="B23" s="357" t="s">
        <v>458</v>
      </c>
      <c r="C23" s="723"/>
      <c r="D23" s="568">
        <v>0</v>
      </c>
      <c r="E23" s="376"/>
      <c r="F23" s="607">
        <v>0</v>
      </c>
      <c r="G23" s="368"/>
    </row>
    <row r="24" spans="1:7" ht="15.75" x14ac:dyDescent="0.2">
      <c r="A24" s="368"/>
      <c r="B24" s="357" t="s">
        <v>459</v>
      </c>
      <c r="C24" s="723"/>
      <c r="D24" s="568">
        <v>1471647</v>
      </c>
      <c r="E24" s="376"/>
      <c r="F24" s="607">
        <v>194924</v>
      </c>
      <c r="G24" s="368"/>
    </row>
    <row r="25" spans="1:7" ht="15.75" x14ac:dyDescent="0.2">
      <c r="A25" s="368"/>
      <c r="B25" s="357" t="s">
        <v>566</v>
      </c>
      <c r="C25" s="723"/>
      <c r="D25" s="568">
        <v>3282068</v>
      </c>
      <c r="E25" s="376"/>
      <c r="F25" s="607">
        <v>2446781</v>
      </c>
      <c r="G25" s="368"/>
    </row>
    <row r="26" spans="1:7" ht="15.75" x14ac:dyDescent="0.2">
      <c r="A26" s="368"/>
      <c r="B26" s="357" t="s">
        <v>486</v>
      </c>
      <c r="C26" s="723"/>
      <c r="D26" s="568">
        <v>101499568</v>
      </c>
      <c r="E26" s="380"/>
      <c r="F26" s="607">
        <v>100353220</v>
      </c>
      <c r="G26" s="368"/>
    </row>
    <row r="27" spans="1:7" ht="15.75" x14ac:dyDescent="0.2">
      <c r="A27" s="368"/>
      <c r="B27" s="357"/>
      <c r="C27" s="723"/>
      <c r="D27" s="569"/>
      <c r="E27" s="380"/>
      <c r="F27" s="483"/>
      <c r="G27" s="368"/>
    </row>
    <row r="28" spans="1:7" ht="16.5" thickBot="1" x14ac:dyDescent="0.25">
      <c r="A28" s="368"/>
      <c r="B28" s="356"/>
      <c r="C28" s="719"/>
      <c r="D28" s="574">
        <f>SUM(D23:D27)</f>
        <v>106253283</v>
      </c>
      <c r="E28" s="532"/>
      <c r="F28" s="487">
        <f>SUM(F23:F27)</f>
        <v>102994925</v>
      </c>
      <c r="G28" s="368"/>
    </row>
    <row r="29" spans="1:7" ht="15.75" x14ac:dyDescent="0.2">
      <c r="A29" s="368"/>
      <c r="B29" s="484" t="s">
        <v>460</v>
      </c>
      <c r="C29" s="719"/>
      <c r="D29" s="568"/>
      <c r="E29" s="376"/>
      <c r="F29" s="481"/>
      <c r="G29" s="368"/>
    </row>
    <row r="30" spans="1:7" ht="15.75" x14ac:dyDescent="0.2">
      <c r="A30" s="368"/>
      <c r="B30" s="485" t="s">
        <v>593</v>
      </c>
      <c r="C30" s="724"/>
      <c r="D30" s="582">
        <f>+'MBA DEP-2425'!N72</f>
        <v>18360865.890000001</v>
      </c>
      <c r="E30" s="657"/>
      <c r="F30" s="658">
        <f>+'MBA DEP-2425'!M72</f>
        <v>19694264.890000001</v>
      </c>
      <c r="G30" s="368"/>
    </row>
    <row r="31" spans="1:7" ht="15.75" x14ac:dyDescent="0.2">
      <c r="A31" s="368"/>
      <c r="B31" s="486"/>
      <c r="C31" s="724"/>
      <c r="D31" s="578"/>
      <c r="E31" s="376"/>
      <c r="F31" s="480"/>
      <c r="G31" s="368"/>
    </row>
    <row r="32" spans="1:7" ht="16.5" thickBot="1" x14ac:dyDescent="0.25">
      <c r="A32" s="368"/>
      <c r="B32" s="486"/>
      <c r="C32" s="724"/>
      <c r="D32" s="574">
        <f>SUM(D30:D30)</f>
        <v>18360865.890000001</v>
      </c>
      <c r="E32" s="491"/>
      <c r="F32" s="487">
        <f>SUM(F30:F31)</f>
        <v>19694264.890000001</v>
      </c>
      <c r="G32" s="368"/>
    </row>
    <row r="33" spans="1:7" ht="15.75" x14ac:dyDescent="0.2">
      <c r="A33" s="368"/>
      <c r="B33" s="359" t="s">
        <v>464</v>
      </c>
      <c r="C33" s="724"/>
      <c r="D33" s="568" t="s">
        <v>0</v>
      </c>
      <c r="E33" s="380"/>
      <c r="F33" s="607" t="s">
        <v>0</v>
      </c>
      <c r="G33" s="368"/>
    </row>
    <row r="34" spans="1:7" ht="15.75" x14ac:dyDescent="0.2">
      <c r="A34" s="368"/>
      <c r="B34" s="357" t="s">
        <v>462</v>
      </c>
      <c r="C34" s="724"/>
      <c r="D34" s="568">
        <v>2000</v>
      </c>
      <c r="E34" s="380"/>
      <c r="F34" s="607">
        <v>2000</v>
      </c>
      <c r="G34" s="368"/>
    </row>
    <row r="35" spans="1:7" ht="15.75" x14ac:dyDescent="0.2">
      <c r="A35" s="368"/>
      <c r="B35" s="357" t="s">
        <v>463</v>
      </c>
      <c r="C35" s="724"/>
      <c r="D35" s="568">
        <v>2079492</v>
      </c>
      <c r="E35" s="380"/>
      <c r="F35" s="607">
        <v>1956659</v>
      </c>
      <c r="G35" s="368"/>
    </row>
    <row r="36" spans="1:7" ht="15.75" x14ac:dyDescent="0.2">
      <c r="A36" s="368"/>
      <c r="B36" s="486"/>
      <c r="C36" s="724"/>
      <c r="D36" s="568"/>
      <c r="E36" s="380"/>
      <c r="F36" s="607"/>
      <c r="G36" s="368"/>
    </row>
    <row r="37" spans="1:7" ht="15.75" x14ac:dyDescent="0.2">
      <c r="A37" s="368"/>
      <c r="B37" s="486"/>
      <c r="C37" s="724"/>
      <c r="D37" s="576">
        <f>SUM(D34:D36)</f>
        <v>2081492</v>
      </c>
      <c r="E37" s="491"/>
      <c r="F37" s="482">
        <f>SUM(F34:F36)</f>
        <v>1958659</v>
      </c>
      <c r="G37" s="368"/>
    </row>
    <row r="38" spans="1:7" ht="15.75" x14ac:dyDescent="0.2">
      <c r="A38" s="368"/>
      <c r="B38" s="359" t="s">
        <v>568</v>
      </c>
      <c r="C38" s="719"/>
      <c r="D38" s="579"/>
      <c r="E38" s="376"/>
      <c r="F38" s="481"/>
      <c r="G38" s="368"/>
    </row>
    <row r="39" spans="1:7" ht="15.75" x14ac:dyDescent="0.2">
      <c r="A39" s="368"/>
      <c r="B39" s="357" t="s">
        <v>569</v>
      </c>
      <c r="C39" s="719"/>
      <c r="D39" s="568">
        <f>3557124+1801+31766</f>
        <v>3590691</v>
      </c>
      <c r="E39" s="376"/>
      <c r="F39" s="607">
        <f>3557124+2492+98135</f>
        <v>3657751</v>
      </c>
      <c r="G39" s="368"/>
    </row>
    <row r="40" spans="1:7" ht="15.75" x14ac:dyDescent="0.2">
      <c r="A40" s="368"/>
      <c r="B40" s="357" t="s">
        <v>465</v>
      </c>
      <c r="C40" s="719"/>
      <c r="D40" s="568">
        <v>27843100</v>
      </c>
      <c r="E40" s="376"/>
      <c r="F40" s="607">
        <v>29886250</v>
      </c>
      <c r="G40" s="368"/>
    </row>
    <row r="41" spans="1:7" ht="15.75" x14ac:dyDescent="0.2">
      <c r="A41" s="368"/>
      <c r="B41" s="357" t="s">
        <v>615</v>
      </c>
      <c r="C41" s="719"/>
      <c r="D41" s="568">
        <f>351+107646</f>
        <v>107997</v>
      </c>
      <c r="E41" s="376"/>
      <c r="F41" s="607">
        <v>333</v>
      </c>
      <c r="G41" s="368"/>
    </row>
    <row r="42" spans="1:7" ht="15.75" x14ac:dyDescent="0.2">
      <c r="A42" s="368"/>
      <c r="B42" s="357" t="s">
        <v>486</v>
      </c>
      <c r="C42" s="719"/>
      <c r="D42" s="568">
        <v>88276241.680000007</v>
      </c>
      <c r="E42" s="376"/>
      <c r="F42" s="607">
        <v>80626135</v>
      </c>
      <c r="G42" s="368"/>
    </row>
    <row r="43" spans="1:7" ht="16.5" thickBot="1" x14ac:dyDescent="0.25">
      <c r="A43" s="368"/>
      <c r="B43" s="357"/>
      <c r="C43" s="719"/>
      <c r="D43" s="574">
        <f>SUM(D39:D42)</f>
        <v>119818029.68000001</v>
      </c>
      <c r="E43" s="533"/>
      <c r="F43" s="490">
        <f>SUM(F39:F42)</f>
        <v>114170469</v>
      </c>
      <c r="G43" s="368"/>
    </row>
    <row r="44" spans="1:7" ht="15.75" x14ac:dyDescent="0.2">
      <c r="A44" s="368"/>
      <c r="B44" s="359" t="s">
        <v>467</v>
      </c>
      <c r="C44" s="719"/>
      <c r="D44" s="568"/>
      <c r="E44" s="376"/>
      <c r="F44" s="481"/>
      <c r="G44" s="368"/>
    </row>
    <row r="45" spans="1:7" ht="15.75" x14ac:dyDescent="0.2">
      <c r="A45" s="368"/>
      <c r="B45" s="357" t="s">
        <v>468</v>
      </c>
      <c r="C45" s="719"/>
      <c r="D45" s="568">
        <v>71</v>
      </c>
      <c r="E45" s="376"/>
      <c r="F45" s="607">
        <v>127</v>
      </c>
      <c r="G45" s="368"/>
    </row>
    <row r="46" spans="1:7" ht="15.75" x14ac:dyDescent="0.2">
      <c r="A46" s="368"/>
      <c r="B46" s="357" t="s">
        <v>469</v>
      </c>
      <c r="C46" s="719"/>
      <c r="D46" s="569">
        <v>3129617.66</v>
      </c>
      <c r="E46" s="376"/>
      <c r="F46" s="725">
        <v>10683929.25</v>
      </c>
      <c r="G46" s="368"/>
    </row>
    <row r="47" spans="1:7" ht="16.5" thickBot="1" x14ac:dyDescent="0.25">
      <c r="A47" s="368"/>
      <c r="B47" s="488"/>
      <c r="C47" s="489"/>
      <c r="D47" s="382">
        <f>SUM(D45:D46)</f>
        <v>3129688.66</v>
      </c>
      <c r="E47" s="533"/>
      <c r="F47" s="490">
        <f>SUM(F45:F46)</f>
        <v>10684056.25</v>
      </c>
      <c r="G47" s="368"/>
    </row>
    <row r="48" spans="1:7" ht="15.75" x14ac:dyDescent="0.2">
      <c r="A48" s="368"/>
      <c r="B48" s="358"/>
      <c r="C48" s="358"/>
      <c r="D48" s="580"/>
      <c r="E48" s="380"/>
      <c r="F48" s="393"/>
      <c r="G48" s="368"/>
    </row>
    <row r="49" spans="1:7" ht="15.75" x14ac:dyDescent="0.2">
      <c r="A49" s="368"/>
      <c r="B49" s="358"/>
      <c r="C49" s="358"/>
      <c r="D49" s="580"/>
      <c r="E49" s="380"/>
      <c r="F49" s="393"/>
      <c r="G49" s="368"/>
    </row>
    <row r="50" spans="1:7" ht="15.75" x14ac:dyDescent="0.2">
      <c r="A50" s="368"/>
      <c r="B50" s="358"/>
      <c r="C50" s="358"/>
      <c r="D50" s="580"/>
      <c r="E50" s="380"/>
      <c r="F50" s="393"/>
      <c r="G50" s="368"/>
    </row>
    <row r="51" spans="1:7" ht="15.75" x14ac:dyDescent="0.2">
      <c r="A51" s="368"/>
      <c r="B51" s="358"/>
      <c r="C51" s="358"/>
      <c r="D51" s="580"/>
      <c r="E51" s="380"/>
      <c r="F51" s="393"/>
      <c r="G51" s="368"/>
    </row>
    <row r="52" spans="1:7" ht="15.75" x14ac:dyDescent="0.2">
      <c r="A52" s="368"/>
      <c r="B52" s="358"/>
      <c r="C52" s="358"/>
      <c r="D52" s="580"/>
      <c r="E52" s="380"/>
      <c r="F52" s="393"/>
      <c r="G52" s="368"/>
    </row>
    <row r="53" spans="1:7" ht="15.75" x14ac:dyDescent="0.2">
      <c r="A53" s="368"/>
      <c r="B53" s="358"/>
      <c r="C53" s="358"/>
      <c r="D53" s="580"/>
      <c r="E53" s="380"/>
      <c r="F53" s="393"/>
      <c r="G53" s="368"/>
    </row>
    <row r="54" spans="1:7" ht="15.75" x14ac:dyDescent="0.2">
      <c r="A54" s="368"/>
      <c r="B54" s="358"/>
      <c r="C54" s="358"/>
      <c r="D54" s="580"/>
      <c r="E54" s="380"/>
      <c r="F54" s="393"/>
      <c r="G54" s="368"/>
    </row>
    <row r="55" spans="1:7" ht="15.75" x14ac:dyDescent="0.2">
      <c r="A55" s="368"/>
      <c r="B55" s="358"/>
      <c r="C55" s="358"/>
      <c r="D55" s="580"/>
      <c r="E55" s="380"/>
      <c r="F55" s="393"/>
      <c r="G55" s="368"/>
    </row>
    <row r="56" spans="1:7" ht="15.75" x14ac:dyDescent="0.2">
      <c r="A56" s="368"/>
      <c r="B56" s="358"/>
      <c r="C56" s="358"/>
      <c r="D56" s="580"/>
      <c r="E56" s="380"/>
      <c r="F56" s="393"/>
      <c r="G56" s="368"/>
    </row>
    <row r="57" spans="1:7" ht="15.75" x14ac:dyDescent="0.2">
      <c r="A57" s="368"/>
      <c r="B57" s="358"/>
      <c r="C57" s="358"/>
      <c r="D57" s="580"/>
      <c r="E57" s="380"/>
      <c r="F57" s="393"/>
      <c r="G57" s="368"/>
    </row>
    <row r="58" spans="1:7" ht="15.75" x14ac:dyDescent="0.2">
      <c r="A58" s="368"/>
      <c r="B58" s="358"/>
      <c r="C58" s="358"/>
      <c r="D58" s="580"/>
      <c r="E58" s="380"/>
      <c r="F58" s="393"/>
      <c r="G58" s="368"/>
    </row>
    <row r="59" spans="1:7" ht="15.75" x14ac:dyDescent="0.2">
      <c r="A59" s="368"/>
      <c r="B59" s="358"/>
      <c r="C59" s="358"/>
      <c r="D59" s="580"/>
      <c r="E59" s="380"/>
      <c r="F59" s="393"/>
      <c r="G59" s="368"/>
    </row>
    <row r="60" spans="1:7" ht="15.75" x14ac:dyDescent="0.2">
      <c r="A60" s="368"/>
      <c r="B60" s="358"/>
      <c r="C60" s="358"/>
      <c r="D60" s="580"/>
      <c r="E60" s="380"/>
      <c r="F60" s="393"/>
      <c r="G60" s="368"/>
    </row>
    <row r="61" spans="1:7" ht="15.75" x14ac:dyDescent="0.2">
      <c r="A61" s="368"/>
      <c r="B61" s="358"/>
      <c r="C61" s="358"/>
      <c r="D61" s="580"/>
      <c r="E61" s="380"/>
      <c r="F61" s="393"/>
      <c r="G61" s="368"/>
    </row>
    <row r="62" spans="1:7" ht="15.75" x14ac:dyDescent="0.2">
      <c r="A62" s="368"/>
      <c r="B62" s="358"/>
      <c r="C62" s="358"/>
      <c r="D62" s="580"/>
      <c r="E62" s="380"/>
      <c r="F62" s="393"/>
      <c r="G62" s="368"/>
    </row>
    <row r="63" spans="1:7" ht="15.75" x14ac:dyDescent="0.2">
      <c r="A63" s="368"/>
      <c r="B63" s="358"/>
      <c r="C63" s="358"/>
      <c r="D63" s="580"/>
      <c r="E63" s="380"/>
      <c r="F63" s="393"/>
      <c r="G63" s="368"/>
    </row>
    <row r="64" spans="1:7" ht="15.75" x14ac:dyDescent="0.2">
      <c r="A64" s="368"/>
      <c r="B64" s="358"/>
      <c r="C64" s="358"/>
      <c r="D64" s="580"/>
      <c r="E64" s="380"/>
      <c r="F64" s="393"/>
      <c r="G64" s="368"/>
    </row>
    <row r="65" spans="1:7" x14ac:dyDescent="0.2">
      <c r="A65" s="805" t="s">
        <v>654</v>
      </c>
      <c r="B65" s="805"/>
      <c r="C65" s="805"/>
      <c r="D65" s="805"/>
      <c r="E65" s="805"/>
      <c r="F65" s="805"/>
      <c r="G65"/>
    </row>
    <row r="66" spans="1:7" ht="14.25" x14ac:dyDescent="0.2">
      <c r="A66" s="762" t="str">
        <f>'MBA BS'!A2:E2</f>
        <v>M.B.A PROGRAMME</v>
      </c>
      <c r="B66" s="762"/>
      <c r="C66" s="762"/>
      <c r="D66" s="762"/>
      <c r="E66" s="762"/>
      <c r="F66" s="762"/>
      <c r="G66"/>
    </row>
    <row r="67" spans="1:7" ht="16.5" thickBot="1" x14ac:dyDescent="0.3">
      <c r="A67" s="761" t="s">
        <v>561</v>
      </c>
      <c r="B67" s="761"/>
      <c r="C67" s="761"/>
      <c r="D67" s="761"/>
      <c r="E67" s="761"/>
      <c r="F67" s="761"/>
      <c r="G67"/>
    </row>
    <row r="68" spans="1:7" ht="31.5" x14ac:dyDescent="0.2">
      <c r="A68" s="368"/>
      <c r="B68" s="753" t="s">
        <v>422</v>
      </c>
      <c r="C68" s="754"/>
      <c r="D68" s="608" t="s">
        <v>606</v>
      </c>
      <c r="E68" s="474"/>
      <c r="F68" s="609" t="s">
        <v>606</v>
      </c>
      <c r="G68" s="368"/>
    </row>
    <row r="69" spans="1:7" ht="15.75" x14ac:dyDescent="0.2">
      <c r="A69" s="368"/>
      <c r="B69" s="755"/>
      <c r="C69" s="756"/>
      <c r="D69" s="571" t="str">
        <f>D5</f>
        <v>31.03.2025</v>
      </c>
      <c r="E69" s="373"/>
      <c r="F69" s="476" t="str">
        <f>F5</f>
        <v>31.03.2024</v>
      </c>
      <c r="G69" s="368"/>
    </row>
    <row r="70" spans="1:7" ht="15.75" x14ac:dyDescent="0.2">
      <c r="A70" s="368"/>
      <c r="B70" s="757"/>
      <c r="C70" s="758"/>
      <c r="D70" s="581" t="s">
        <v>494</v>
      </c>
      <c r="E70" s="383"/>
      <c r="F70" s="610" t="s">
        <v>494</v>
      </c>
      <c r="G70" s="368"/>
    </row>
    <row r="71" spans="1:7" ht="15.75" x14ac:dyDescent="0.2">
      <c r="A71" s="368"/>
      <c r="B71" s="357"/>
      <c r="C71" s="719"/>
      <c r="D71" s="568"/>
      <c r="E71" s="380"/>
      <c r="F71" s="480"/>
      <c r="G71" s="368"/>
    </row>
    <row r="72" spans="1:7" ht="15.75" x14ac:dyDescent="0.2">
      <c r="A72" s="368"/>
      <c r="B72" s="359" t="s">
        <v>570</v>
      </c>
      <c r="C72" s="719"/>
      <c r="D72" s="568"/>
      <c r="E72" s="380"/>
      <c r="F72" s="480"/>
      <c r="G72" s="368"/>
    </row>
    <row r="73" spans="1:7" ht="15.75" x14ac:dyDescent="0.2">
      <c r="A73" s="368"/>
      <c r="B73" s="357" t="s">
        <v>595</v>
      </c>
      <c r="C73" s="719"/>
      <c r="D73" s="568">
        <v>39837000</v>
      </c>
      <c r="E73" s="384"/>
      <c r="F73" s="607">
        <v>41987695</v>
      </c>
      <c r="G73" s="368"/>
    </row>
    <row r="74" spans="1:7" ht="15.75" x14ac:dyDescent="0.2">
      <c r="A74" s="368"/>
      <c r="B74" s="357" t="s">
        <v>596</v>
      </c>
      <c r="C74" s="719"/>
      <c r="D74" s="568">
        <v>0</v>
      </c>
      <c r="E74" s="384"/>
      <c r="F74" s="607">
        <v>0</v>
      </c>
      <c r="G74" s="368"/>
    </row>
    <row r="75" spans="1:7" ht="15.75" x14ac:dyDescent="0.2">
      <c r="A75" s="368"/>
      <c r="B75" s="357" t="s">
        <v>597</v>
      </c>
      <c r="C75" s="719"/>
      <c r="D75" s="568">
        <v>0</v>
      </c>
      <c r="E75" s="384"/>
      <c r="F75" s="607">
        <v>0</v>
      </c>
      <c r="G75" s="368"/>
    </row>
    <row r="76" spans="1:7" ht="15.75" x14ac:dyDescent="0.2">
      <c r="A76" s="368"/>
      <c r="B76" s="357"/>
      <c r="C76" s="719"/>
      <c r="D76" s="582"/>
      <c r="E76" s="384"/>
      <c r="F76" s="480"/>
      <c r="G76" s="368"/>
    </row>
    <row r="77" spans="1:7" ht="16.5" thickBot="1" x14ac:dyDescent="0.25">
      <c r="A77" s="368"/>
      <c r="B77" s="357"/>
      <c r="C77" s="719"/>
      <c r="D77" s="583">
        <f>SUM(D73:D76)</f>
        <v>39837000</v>
      </c>
      <c r="E77" s="535"/>
      <c r="F77" s="487">
        <f>SUM(F73:F76)</f>
        <v>41987695</v>
      </c>
      <c r="G77" s="368"/>
    </row>
    <row r="78" spans="1:7" ht="15.75" x14ac:dyDescent="0.2">
      <c r="A78" s="368"/>
      <c r="B78" s="359" t="s">
        <v>571</v>
      </c>
      <c r="C78" s="719"/>
      <c r="D78" s="582"/>
      <c r="E78" s="384"/>
      <c r="F78" s="480"/>
      <c r="G78" s="368"/>
    </row>
    <row r="79" spans="1:7" ht="15.75" x14ac:dyDescent="0.2">
      <c r="A79" s="368"/>
      <c r="B79" s="357" t="s">
        <v>572</v>
      </c>
      <c r="C79" s="719"/>
      <c r="D79" s="568">
        <v>383724</v>
      </c>
      <c r="E79" s="384"/>
      <c r="F79" s="607">
        <v>301017</v>
      </c>
      <c r="G79" s="368"/>
    </row>
    <row r="80" spans="1:7" ht="16.5" thickBot="1" x14ac:dyDescent="0.25">
      <c r="A80" s="368"/>
      <c r="B80" s="357"/>
      <c r="C80" s="719"/>
      <c r="D80" s="583">
        <f>SUM(D79:D79)</f>
        <v>383724</v>
      </c>
      <c r="E80" s="535"/>
      <c r="F80" s="487">
        <f>SUM(F79:F79)</f>
        <v>301017</v>
      </c>
      <c r="G80" s="368"/>
    </row>
    <row r="81" spans="1:7" ht="15.75" x14ac:dyDescent="0.2">
      <c r="A81" s="368"/>
      <c r="B81" s="359" t="s">
        <v>574</v>
      </c>
      <c r="C81" s="719"/>
      <c r="D81" s="582"/>
      <c r="E81" s="384"/>
      <c r="F81" s="480"/>
      <c r="G81" s="368"/>
    </row>
    <row r="82" spans="1:7" ht="15.75" x14ac:dyDescent="0.2">
      <c r="A82" s="368"/>
      <c r="B82" s="357" t="s">
        <v>573</v>
      </c>
      <c r="C82" s="719"/>
      <c r="D82" s="568">
        <v>2377</v>
      </c>
      <c r="E82" s="384"/>
      <c r="F82" s="607">
        <v>93609</v>
      </c>
      <c r="G82" s="368"/>
    </row>
    <row r="83" spans="1:7" ht="15.75" x14ac:dyDescent="0.2">
      <c r="A83" s="368"/>
      <c r="B83" s="357" t="s">
        <v>642</v>
      </c>
      <c r="C83" s="719"/>
      <c r="D83" s="568">
        <v>3954859</v>
      </c>
      <c r="E83" s="384"/>
      <c r="F83" s="607">
        <v>1498794.6</v>
      </c>
      <c r="G83" s="368"/>
    </row>
    <row r="84" spans="1:7" ht="16.5" thickBot="1" x14ac:dyDescent="0.25">
      <c r="A84" s="368"/>
      <c r="B84" s="357"/>
      <c r="C84" s="719"/>
      <c r="D84" s="583">
        <f>SUM(D82:D83)</f>
        <v>3957236</v>
      </c>
      <c r="E84" s="535"/>
      <c r="F84" s="487">
        <f>SUM(F82:F83)</f>
        <v>1592403.6</v>
      </c>
      <c r="G84" s="368"/>
    </row>
    <row r="85" spans="1:7" ht="15.75" x14ac:dyDescent="0.2">
      <c r="A85" s="368"/>
      <c r="B85" s="359" t="s">
        <v>598</v>
      </c>
      <c r="C85" s="719"/>
      <c r="D85" s="568"/>
      <c r="E85" s="377"/>
      <c r="F85" s="481"/>
      <c r="G85" s="368"/>
    </row>
    <row r="86" spans="1:7" ht="15.75" x14ac:dyDescent="0.2">
      <c r="A86" s="368"/>
      <c r="B86" s="357" t="s">
        <v>478</v>
      </c>
      <c r="C86" s="719"/>
      <c r="D86" s="568">
        <f>4398278+22306908</f>
        <v>26705186</v>
      </c>
      <c r="E86" s="377"/>
      <c r="F86" s="607">
        <f>19704271+7399</f>
        <v>19711670</v>
      </c>
      <c r="G86" s="368"/>
    </row>
    <row r="87" spans="1:7" ht="15.75" x14ac:dyDescent="0.2">
      <c r="A87" s="368"/>
      <c r="B87" s="357" t="s">
        <v>479</v>
      </c>
      <c r="C87" s="719"/>
      <c r="D87" s="568">
        <v>405546</v>
      </c>
      <c r="E87" s="377"/>
      <c r="F87" s="607">
        <v>411630</v>
      </c>
      <c r="G87" s="368"/>
    </row>
    <row r="88" spans="1:7" ht="15.75" x14ac:dyDescent="0.2">
      <c r="A88" s="368"/>
      <c r="B88" s="357" t="s">
        <v>652</v>
      </c>
      <c r="C88" s="719"/>
      <c r="D88" s="568">
        <v>6318071</v>
      </c>
      <c r="E88" s="380"/>
      <c r="F88" s="607">
        <v>0</v>
      </c>
      <c r="G88" s="368"/>
    </row>
    <row r="89" spans="1:7" ht="15.75" x14ac:dyDescent="0.2">
      <c r="A89" s="368"/>
      <c r="B89" s="357" t="s">
        <v>576</v>
      </c>
      <c r="C89" s="719"/>
      <c r="D89" s="568">
        <v>329000</v>
      </c>
      <c r="E89" s="380"/>
      <c r="F89" s="607">
        <v>185000</v>
      </c>
      <c r="G89" s="368"/>
    </row>
    <row r="90" spans="1:7" ht="16.5" thickBot="1" x14ac:dyDescent="0.25">
      <c r="A90" s="368"/>
      <c r="B90" s="357"/>
      <c r="C90" s="719"/>
      <c r="D90" s="574">
        <f>SUM(D86:D89)</f>
        <v>33757803</v>
      </c>
      <c r="E90" s="533"/>
      <c r="F90" s="487">
        <f>SUM(F86:F89)</f>
        <v>20308300</v>
      </c>
      <c r="G90" s="368"/>
    </row>
    <row r="91" spans="1:7" ht="15.75" x14ac:dyDescent="0.2">
      <c r="A91" s="368"/>
      <c r="B91" s="359" t="s">
        <v>577</v>
      </c>
      <c r="C91" s="719"/>
      <c r="D91" s="568"/>
      <c r="E91" s="380"/>
      <c r="F91" s="480"/>
      <c r="G91" s="368"/>
    </row>
    <row r="92" spans="1:7" ht="15.75" x14ac:dyDescent="0.2">
      <c r="A92" s="368"/>
      <c r="B92" s="357" t="s">
        <v>578</v>
      </c>
      <c r="C92" s="719"/>
      <c r="D92" s="568">
        <v>632260</v>
      </c>
      <c r="E92" s="380"/>
      <c r="F92" s="607">
        <v>968622</v>
      </c>
      <c r="G92" s="368"/>
    </row>
    <row r="93" spans="1:7" ht="15.75" x14ac:dyDescent="0.2">
      <c r="A93" s="368"/>
      <c r="B93" s="357" t="s">
        <v>616</v>
      </c>
      <c r="C93" s="719"/>
      <c r="D93" s="568">
        <f>36994+26550+51450+46500</f>
        <v>161494</v>
      </c>
      <c r="E93" s="380"/>
      <c r="F93" s="607">
        <f>24921+25740+205248+51920+50024</f>
        <v>357853</v>
      </c>
      <c r="G93" s="368"/>
    </row>
    <row r="94" spans="1:7" ht="15.75" x14ac:dyDescent="0.2">
      <c r="A94" s="368"/>
      <c r="B94" s="357" t="s">
        <v>636</v>
      </c>
      <c r="C94" s="719"/>
      <c r="D94" s="568">
        <v>2691560</v>
      </c>
      <c r="E94" s="380"/>
      <c r="F94" s="607">
        <f>4577950</f>
        <v>4577950</v>
      </c>
      <c r="G94" s="368"/>
    </row>
    <row r="95" spans="1:7" ht="15.75" x14ac:dyDescent="0.2">
      <c r="A95" s="368"/>
      <c r="B95" s="357" t="s">
        <v>599</v>
      </c>
      <c r="C95" s="719"/>
      <c r="D95" s="568">
        <f>2130829</f>
        <v>2130829</v>
      </c>
      <c r="E95" s="380"/>
      <c r="F95" s="607">
        <v>2220237</v>
      </c>
      <c r="G95" s="368"/>
    </row>
    <row r="96" spans="1:7" ht="15.75" x14ac:dyDescent="0.2">
      <c r="A96" s="368"/>
      <c r="B96" s="357" t="s">
        <v>484</v>
      </c>
      <c r="C96" s="719"/>
      <c r="D96" s="568">
        <f>39500+85838</f>
        <v>125338</v>
      </c>
      <c r="E96" s="380"/>
      <c r="F96" s="607">
        <v>0</v>
      </c>
      <c r="G96" s="368"/>
    </row>
    <row r="97" spans="1:7" ht="15.75" x14ac:dyDescent="0.2">
      <c r="A97" s="368"/>
      <c r="B97" s="357" t="s">
        <v>579</v>
      </c>
      <c r="C97" s="719"/>
      <c r="D97" s="568">
        <v>5393</v>
      </c>
      <c r="E97" s="380"/>
      <c r="F97" s="607">
        <v>0</v>
      </c>
      <c r="G97" s="368"/>
    </row>
    <row r="98" spans="1:7" ht="15.75" x14ac:dyDescent="0.2">
      <c r="A98" s="368"/>
      <c r="B98" s="357" t="s">
        <v>624</v>
      </c>
      <c r="C98" s="719"/>
      <c r="D98" s="568">
        <f>3250239+488155+30000</f>
        <v>3768394</v>
      </c>
      <c r="E98" s="380"/>
      <c r="F98" s="607">
        <f>115320+290863+40000</f>
        <v>446183</v>
      </c>
      <c r="G98" s="368"/>
    </row>
    <row r="99" spans="1:7" ht="16.5" thickBot="1" x14ac:dyDescent="0.25">
      <c r="A99" s="368"/>
      <c r="B99" s="357"/>
      <c r="C99" s="719"/>
      <c r="D99" s="574">
        <f>SUM(D92:D98)</f>
        <v>9515268</v>
      </c>
      <c r="E99" s="533"/>
      <c r="F99" s="487">
        <f>SUM(F92:F98)</f>
        <v>8570845</v>
      </c>
      <c r="G99" s="368"/>
    </row>
    <row r="100" spans="1:7" ht="15.75" x14ac:dyDescent="0.2">
      <c r="A100" s="368"/>
      <c r="B100" s="359" t="s">
        <v>580</v>
      </c>
      <c r="C100" s="719"/>
      <c r="D100" s="584"/>
      <c r="E100" s="392"/>
      <c r="F100" s="480"/>
      <c r="G100" s="368"/>
    </row>
    <row r="101" spans="1:7" ht="15.75" x14ac:dyDescent="0.2">
      <c r="A101" s="368"/>
      <c r="B101" s="357" t="s">
        <v>581</v>
      </c>
      <c r="C101" s="719"/>
      <c r="D101" s="568">
        <v>1762804</v>
      </c>
      <c r="E101" s="380"/>
      <c r="F101" s="607">
        <v>1791508</v>
      </c>
      <c r="G101" s="368"/>
    </row>
    <row r="102" spans="1:7" ht="15.75" x14ac:dyDescent="0.25">
      <c r="A102" s="368"/>
      <c r="B102" s="221" t="s">
        <v>661</v>
      </c>
      <c r="C102" s="719"/>
      <c r="D102" s="568">
        <v>151408</v>
      </c>
      <c r="E102" s="380"/>
      <c r="F102" s="607"/>
      <c r="G102" s="368"/>
    </row>
    <row r="103" spans="1:7" ht="15.75" x14ac:dyDescent="0.2">
      <c r="A103" s="368"/>
      <c r="B103" s="357" t="s">
        <v>600</v>
      </c>
      <c r="C103" s="719"/>
      <c r="D103" s="568">
        <f>223945+15000+27429+41100</f>
        <v>307474</v>
      </c>
      <c r="E103" s="380"/>
      <c r="F103" s="607">
        <v>485749</v>
      </c>
      <c r="G103" s="368"/>
    </row>
    <row r="104" spans="1:7" ht="15.75" x14ac:dyDescent="0.2">
      <c r="A104" s="368"/>
      <c r="B104" s="357" t="s">
        <v>483</v>
      </c>
      <c r="C104" s="719"/>
      <c r="D104" s="568">
        <f>220357+85242+24700</f>
        <v>330299</v>
      </c>
      <c r="E104" s="380"/>
      <c r="F104" s="607">
        <f>383173+61355</f>
        <v>444528</v>
      </c>
      <c r="G104" s="368"/>
    </row>
    <row r="105" spans="1:7" ht="15.75" x14ac:dyDescent="0.2">
      <c r="A105" s="368"/>
      <c r="B105" s="357" t="s">
        <v>17</v>
      </c>
      <c r="C105" s="719"/>
      <c r="D105" s="568">
        <v>578409</v>
      </c>
      <c r="E105" s="380"/>
      <c r="F105" s="607">
        <v>1245737</v>
      </c>
      <c r="G105" s="368"/>
    </row>
    <row r="106" spans="1:7" ht="15.75" x14ac:dyDescent="0.2">
      <c r="A106" s="368"/>
      <c r="B106" s="357" t="s">
        <v>583</v>
      </c>
      <c r="C106" s="719"/>
      <c r="D106" s="568">
        <v>306797</v>
      </c>
      <c r="E106" s="380"/>
      <c r="F106" s="607">
        <v>383496</v>
      </c>
      <c r="G106" s="368"/>
    </row>
    <row r="107" spans="1:7" ht="15.75" x14ac:dyDescent="0.2">
      <c r="A107" s="368"/>
      <c r="B107" s="357" t="s">
        <v>650</v>
      </c>
      <c r="C107" s="719"/>
      <c r="D107" s="584"/>
      <c r="E107" s="376"/>
      <c r="F107" s="607">
        <v>0</v>
      </c>
      <c r="G107" s="368"/>
    </row>
    <row r="108" spans="1:7" ht="15.75" x14ac:dyDescent="0.2">
      <c r="A108" s="368"/>
      <c r="B108" s="357" t="s">
        <v>584</v>
      </c>
      <c r="C108" s="719"/>
      <c r="D108" s="568">
        <v>10056</v>
      </c>
      <c r="E108" s="380"/>
      <c r="F108" s="607">
        <v>3046</v>
      </c>
      <c r="G108" s="368"/>
    </row>
    <row r="109" spans="1:7" ht="15.75" x14ac:dyDescent="0.2">
      <c r="A109" s="368"/>
      <c r="B109" s="357" t="s">
        <v>19</v>
      </c>
      <c r="C109" s="719"/>
      <c r="D109" s="568">
        <v>15765</v>
      </c>
      <c r="E109" s="380"/>
      <c r="F109" s="607">
        <v>13138</v>
      </c>
      <c r="G109" s="368"/>
    </row>
    <row r="110" spans="1:7" ht="15.75" x14ac:dyDescent="0.2">
      <c r="A110" s="368"/>
      <c r="B110" s="357" t="s">
        <v>20</v>
      </c>
      <c r="C110" s="719"/>
      <c r="D110" s="568">
        <v>94400</v>
      </c>
      <c r="E110" s="380"/>
      <c r="F110" s="607">
        <v>94400</v>
      </c>
      <c r="G110" s="368"/>
    </row>
    <row r="111" spans="1:7" ht="15.75" x14ac:dyDescent="0.2">
      <c r="A111" s="368"/>
      <c r="B111" s="357" t="s">
        <v>585</v>
      </c>
      <c r="C111" s="719"/>
      <c r="D111" s="568">
        <f>227262+4020</f>
        <v>231282</v>
      </c>
      <c r="E111" s="380"/>
      <c r="F111" s="607">
        <v>163742</v>
      </c>
      <c r="G111" s="368"/>
    </row>
    <row r="112" spans="1:7" ht="15.75" x14ac:dyDescent="0.2">
      <c r="A112" s="368"/>
      <c r="B112" s="357" t="s">
        <v>586</v>
      </c>
      <c r="C112" s="719"/>
      <c r="D112" s="568">
        <v>60000</v>
      </c>
      <c r="E112" s="380"/>
      <c r="F112" s="607">
        <v>0</v>
      </c>
      <c r="G112" s="368"/>
    </row>
    <row r="113" spans="1:8" ht="15.75" x14ac:dyDescent="0.2">
      <c r="A113" s="368"/>
      <c r="B113" s="356" t="s">
        <v>480</v>
      </c>
      <c r="C113" s="721"/>
      <c r="D113" s="568">
        <v>389173</v>
      </c>
      <c r="E113" s="380"/>
      <c r="F113" s="607">
        <v>66841</v>
      </c>
      <c r="G113" s="368"/>
    </row>
    <row r="114" spans="1:8" ht="15.75" x14ac:dyDescent="0.2">
      <c r="A114" s="368"/>
      <c r="B114" s="357" t="s">
        <v>23</v>
      </c>
      <c r="C114" s="719"/>
      <c r="D114" s="568">
        <f>73059</f>
        <v>73059</v>
      </c>
      <c r="E114" s="380"/>
      <c r="F114" s="607">
        <f>880+77268</f>
        <v>78148</v>
      </c>
      <c r="G114" s="368"/>
    </row>
    <row r="115" spans="1:8" ht="16.5" thickBot="1" x14ac:dyDescent="0.25">
      <c r="A115" s="368"/>
      <c r="B115" s="357"/>
      <c r="C115" s="719"/>
      <c r="D115" s="574">
        <f>SUM(D101:D114)</f>
        <v>4310926</v>
      </c>
      <c r="E115" s="533" t="s">
        <v>0</v>
      </c>
      <c r="F115" s="490">
        <f>SUM(F101:F114)</f>
        <v>4770333</v>
      </c>
      <c r="G115" s="368"/>
      <c r="H115" s="5"/>
    </row>
    <row r="116" spans="1:8" ht="15.75" x14ac:dyDescent="0.2">
      <c r="A116" s="368"/>
      <c r="B116" s="359" t="s">
        <v>587</v>
      </c>
      <c r="C116" s="719"/>
      <c r="D116" s="568"/>
      <c r="E116" s="380"/>
      <c r="F116" s="480"/>
      <c r="G116" s="368"/>
    </row>
    <row r="117" spans="1:8" ht="6" customHeight="1" x14ac:dyDescent="0.2">
      <c r="A117" s="368"/>
      <c r="B117" s="359"/>
      <c r="C117" s="719"/>
      <c r="D117" s="568"/>
      <c r="E117" s="380"/>
      <c r="F117" s="480"/>
      <c r="G117" s="368"/>
    </row>
    <row r="118" spans="1:8" ht="3.75" customHeight="1" x14ac:dyDescent="0.2">
      <c r="A118" s="368"/>
      <c r="B118" s="357"/>
      <c r="C118" s="719"/>
      <c r="D118" s="568"/>
      <c r="E118" s="380"/>
      <c r="F118" s="480"/>
      <c r="G118" s="368"/>
    </row>
    <row r="119" spans="1:8" ht="15.75" x14ac:dyDescent="0.2">
      <c r="A119" s="368"/>
      <c r="B119" s="357" t="s">
        <v>24</v>
      </c>
      <c r="C119" s="719"/>
      <c r="D119" s="568">
        <v>3125.59</v>
      </c>
      <c r="E119" s="380"/>
      <c r="F119" s="607">
        <v>3697.41</v>
      </c>
      <c r="G119" s="368"/>
    </row>
    <row r="120" spans="1:8" ht="16.5" thickBot="1" x14ac:dyDescent="0.25">
      <c r="A120" s="368"/>
      <c r="B120" s="357"/>
      <c r="C120" s="719"/>
      <c r="D120" s="574">
        <f>SUM(D119:D119)</f>
        <v>3125.59</v>
      </c>
      <c r="E120" s="533"/>
      <c r="F120" s="487">
        <f>SUM(F119:F119)</f>
        <v>3697.41</v>
      </c>
      <c r="G120" s="368"/>
    </row>
    <row r="121" spans="1:8" ht="9" customHeight="1" x14ac:dyDescent="0.2">
      <c r="A121" s="368"/>
      <c r="B121" s="357"/>
      <c r="C121" s="719"/>
      <c r="D121" s="568"/>
      <c r="E121" s="380"/>
      <c r="F121" s="480"/>
      <c r="G121" s="368"/>
    </row>
    <row r="122" spans="1:8" ht="15.75" x14ac:dyDescent="0.2">
      <c r="A122" s="368"/>
      <c r="B122" s="359" t="s">
        <v>497</v>
      </c>
      <c r="C122" s="719"/>
      <c r="D122" s="568"/>
      <c r="E122" s="380"/>
      <c r="F122" s="480"/>
      <c r="G122" s="368"/>
    </row>
    <row r="123" spans="1:8" ht="15.75" x14ac:dyDescent="0.2">
      <c r="A123" s="368"/>
      <c r="B123" s="356" t="s">
        <v>481</v>
      </c>
      <c r="C123" s="721"/>
      <c r="D123" s="568">
        <v>0</v>
      </c>
      <c r="E123" s="380"/>
      <c r="F123" s="607">
        <v>0</v>
      </c>
      <c r="G123" s="368"/>
    </row>
    <row r="124" spans="1:8" ht="16.5" thickBot="1" x14ac:dyDescent="0.25">
      <c r="A124" s="368"/>
      <c r="B124" s="357"/>
      <c r="C124" s="719"/>
      <c r="D124" s="574">
        <f>SUM(D123:D123)</f>
        <v>0</v>
      </c>
      <c r="E124" s="533"/>
      <c r="F124" s="487">
        <f>SUM(F123:F123)</f>
        <v>0</v>
      </c>
      <c r="G124" s="368"/>
    </row>
    <row r="125" spans="1:8" ht="15.75" x14ac:dyDescent="0.25">
      <c r="A125" s="368"/>
      <c r="B125" s="222" t="s">
        <v>653</v>
      </c>
      <c r="C125" s="719"/>
      <c r="D125" s="568"/>
      <c r="E125" s="380"/>
      <c r="F125" s="480"/>
      <c r="G125" s="368"/>
    </row>
    <row r="126" spans="1:8" ht="15.75" x14ac:dyDescent="0.25">
      <c r="A126" s="368"/>
      <c r="B126" s="220" t="s">
        <v>10</v>
      </c>
      <c r="C126" s="721"/>
      <c r="D126" s="582">
        <f>+'MBA DEP-2425'!J72</f>
        <v>2966568</v>
      </c>
      <c r="E126" s="384"/>
      <c r="F126" s="656">
        <v>3540440</v>
      </c>
      <c r="G126" s="368"/>
    </row>
    <row r="127" spans="1:8" ht="15.75" x14ac:dyDescent="0.25">
      <c r="A127" s="368"/>
      <c r="B127" s="220"/>
      <c r="C127" s="721"/>
      <c r="D127" s="568"/>
      <c r="E127" s="380"/>
      <c r="F127" s="607"/>
      <c r="G127" s="368"/>
    </row>
    <row r="128" spans="1:8" ht="16.5" thickBot="1" x14ac:dyDescent="0.25">
      <c r="A128" s="368"/>
      <c r="B128" s="611"/>
      <c r="C128" s="612"/>
      <c r="D128" s="574">
        <f>SUM(D126:D127)</f>
        <v>2966568</v>
      </c>
      <c r="E128" s="533"/>
      <c r="F128" s="487">
        <f>SUM(F126:F127)</f>
        <v>3540440</v>
      </c>
      <c r="G128" s="368"/>
    </row>
    <row r="129" spans="1:7" ht="15.75" x14ac:dyDescent="0.2">
      <c r="A129" s="368"/>
      <c r="B129" s="289"/>
      <c r="C129" s="289"/>
      <c r="D129" s="585"/>
      <c r="E129" s="363"/>
      <c r="F129" s="371"/>
      <c r="G129" s="368"/>
    </row>
    <row r="130" spans="1:7" ht="15.75" x14ac:dyDescent="0.2">
      <c r="A130" s="368"/>
      <c r="B130" s="289"/>
      <c r="C130" s="289"/>
      <c r="D130" s="585"/>
      <c r="E130" s="363"/>
      <c r="F130" s="371"/>
      <c r="G130" s="368"/>
    </row>
    <row r="131" spans="1:7" ht="15.75" x14ac:dyDescent="0.2">
      <c r="A131" s="368"/>
      <c r="B131" s="289"/>
      <c r="C131" s="289"/>
      <c r="D131" s="585"/>
      <c r="E131" s="363"/>
      <c r="F131" s="371"/>
      <c r="G131" s="368"/>
    </row>
    <row r="132" spans="1:7" ht="15.75" x14ac:dyDescent="0.2">
      <c r="A132" s="368"/>
      <c r="B132" s="289"/>
      <c r="C132" s="289"/>
      <c r="D132" s="585"/>
      <c r="E132" s="363"/>
      <c r="F132" s="371"/>
      <c r="G132" s="368"/>
    </row>
    <row r="133" spans="1:7" ht="15.75" x14ac:dyDescent="0.2">
      <c r="A133" s="368"/>
      <c r="B133" s="289"/>
      <c r="C133" s="289"/>
      <c r="D133" s="585"/>
      <c r="E133" s="363"/>
      <c r="F133" s="371"/>
      <c r="G133" s="368"/>
    </row>
    <row r="134" spans="1:7" ht="15.75" x14ac:dyDescent="0.2">
      <c r="A134" s="368"/>
      <c r="B134" s="289"/>
      <c r="C134" s="289"/>
      <c r="D134" s="585"/>
      <c r="E134" s="363"/>
      <c r="F134" s="371"/>
      <c r="G134" s="368"/>
    </row>
    <row r="135" spans="1:7" ht="15.75" x14ac:dyDescent="0.2">
      <c r="A135" s="368"/>
      <c r="B135" s="289"/>
      <c r="C135" s="289"/>
      <c r="D135" s="585"/>
      <c r="E135" s="363"/>
      <c r="F135" s="371"/>
      <c r="G135" s="368"/>
    </row>
    <row r="136" spans="1:7" ht="15.75" x14ac:dyDescent="0.2">
      <c r="A136" s="368"/>
      <c r="B136" s="289"/>
      <c r="C136" s="289"/>
      <c r="D136" s="585"/>
      <c r="E136" s="363"/>
      <c r="F136" s="371"/>
      <c r="G136" s="368"/>
    </row>
    <row r="137" spans="1:7" ht="15.75" x14ac:dyDescent="0.2">
      <c r="A137" s="368"/>
      <c r="B137" s="289"/>
      <c r="C137" s="289"/>
      <c r="D137" s="585"/>
      <c r="E137" s="363"/>
      <c r="F137" s="371"/>
      <c r="G137" s="368"/>
    </row>
    <row r="138" spans="1:7" ht="15.75" x14ac:dyDescent="0.2">
      <c r="A138" s="368"/>
      <c r="B138" s="289"/>
      <c r="C138" s="289"/>
      <c r="D138" s="585"/>
      <c r="E138" s="363"/>
      <c r="F138" s="371"/>
      <c r="G138" s="368"/>
    </row>
    <row r="139" spans="1:7" ht="15.75" x14ac:dyDescent="0.2">
      <c r="A139" s="368"/>
      <c r="B139" s="289"/>
      <c r="C139" s="289"/>
      <c r="D139" s="585"/>
      <c r="E139" s="363"/>
      <c r="F139" s="371"/>
      <c r="G139" s="368"/>
    </row>
    <row r="140" spans="1:7" ht="15.75" x14ac:dyDescent="0.2">
      <c r="A140" s="368"/>
      <c r="B140" s="289"/>
      <c r="C140" s="289"/>
      <c r="D140" s="585"/>
      <c r="E140" s="363"/>
      <c r="F140" s="371"/>
      <c r="G140" s="368"/>
    </row>
    <row r="141" spans="1:7" ht="15.75" x14ac:dyDescent="0.2">
      <c r="A141" s="368"/>
      <c r="B141" s="289"/>
      <c r="C141" s="289"/>
      <c r="D141" s="585"/>
      <c r="E141" s="363"/>
      <c r="F141" s="371"/>
      <c r="G141" s="368"/>
    </row>
    <row r="142" spans="1:7" ht="15.75" x14ac:dyDescent="0.2">
      <c r="A142" s="368"/>
      <c r="B142" s="289"/>
      <c r="C142" s="289"/>
      <c r="D142" s="585"/>
      <c r="E142" s="363"/>
      <c r="F142" s="371"/>
      <c r="G142" s="368"/>
    </row>
    <row r="143" spans="1:7" ht="15.75" x14ac:dyDescent="0.2">
      <c r="A143" s="368"/>
      <c r="B143" s="289"/>
      <c r="C143" s="289"/>
      <c r="D143" s="585"/>
      <c r="E143" s="363"/>
      <c r="F143" s="371"/>
      <c r="G143" s="368"/>
    </row>
    <row r="144" spans="1:7" ht="15.75" x14ac:dyDescent="0.2">
      <c r="A144" s="368"/>
      <c r="B144" s="289"/>
      <c r="C144" s="289"/>
      <c r="D144" s="585"/>
      <c r="E144" s="363"/>
      <c r="F144" s="371"/>
      <c r="G144" s="368"/>
    </row>
    <row r="145" spans="1:7" ht="15.75" x14ac:dyDescent="0.2">
      <c r="A145" s="368"/>
      <c r="B145" s="289"/>
      <c r="C145" s="289"/>
      <c r="D145" s="585"/>
      <c r="E145" s="363"/>
      <c r="F145" s="371"/>
      <c r="G145" s="368"/>
    </row>
    <row r="146" spans="1:7" ht="15.75" x14ac:dyDescent="0.2">
      <c r="A146" s="368"/>
      <c r="B146" s="289"/>
      <c r="C146" s="289"/>
      <c r="D146" s="585"/>
      <c r="E146" s="363"/>
      <c r="F146" s="371"/>
      <c r="G146" s="368"/>
    </row>
    <row r="147" spans="1:7" ht="15.75" x14ac:dyDescent="0.2">
      <c r="A147" s="368"/>
      <c r="B147" s="289"/>
      <c r="C147" s="289"/>
      <c r="D147" s="585"/>
      <c r="E147" s="363"/>
      <c r="F147" s="371"/>
      <c r="G147" s="368"/>
    </row>
    <row r="148" spans="1:7" ht="15.75" x14ac:dyDescent="0.2">
      <c r="A148" s="368"/>
      <c r="B148" s="289"/>
      <c r="C148" s="289"/>
      <c r="D148" s="585"/>
      <c r="E148" s="363"/>
      <c r="F148" s="371"/>
      <c r="G148" s="368"/>
    </row>
    <row r="149" spans="1:7" ht="15.75" x14ac:dyDescent="0.2">
      <c r="A149" s="368"/>
      <c r="B149" s="289"/>
      <c r="C149" s="289"/>
      <c r="D149" s="585"/>
      <c r="E149" s="363"/>
      <c r="F149" s="371"/>
      <c r="G149" s="368"/>
    </row>
    <row r="150" spans="1:7" ht="15.75" x14ac:dyDescent="0.2">
      <c r="A150" s="368"/>
      <c r="B150" s="289"/>
      <c r="C150" s="289"/>
      <c r="D150" s="585"/>
      <c r="E150" s="363"/>
      <c r="F150" s="371"/>
      <c r="G150" s="368"/>
    </row>
    <row r="151" spans="1:7" ht="15.75" x14ac:dyDescent="0.2">
      <c r="A151" s="368"/>
      <c r="B151" s="289"/>
      <c r="C151" s="289"/>
      <c r="D151" s="585"/>
      <c r="E151" s="363"/>
      <c r="F151" s="371"/>
      <c r="G151" s="368"/>
    </row>
    <row r="152" spans="1:7" ht="15.75" x14ac:dyDescent="0.2">
      <c r="A152" s="368"/>
      <c r="B152" s="289"/>
      <c r="C152" s="289"/>
      <c r="D152" s="585"/>
      <c r="E152" s="363"/>
      <c r="F152" s="371"/>
      <c r="G152" s="368"/>
    </row>
    <row r="153" spans="1:7" ht="15.75" x14ac:dyDescent="0.2">
      <c r="A153" s="368"/>
      <c r="B153" s="289"/>
      <c r="C153" s="289"/>
      <c r="D153" s="585"/>
      <c r="E153" s="363"/>
      <c r="F153" s="371"/>
      <c r="G153" s="368"/>
    </row>
    <row r="154" spans="1:7" ht="15.75" x14ac:dyDescent="0.2">
      <c r="A154" s="368"/>
      <c r="B154" s="289"/>
      <c r="C154" s="289"/>
      <c r="D154" s="585"/>
      <c r="E154" s="363"/>
      <c r="F154" s="371"/>
      <c r="G154" s="368"/>
    </row>
    <row r="155" spans="1:7" ht="15.75" x14ac:dyDescent="0.2">
      <c r="A155" s="368"/>
      <c r="B155" s="289"/>
      <c r="C155" s="289"/>
      <c r="D155" s="585"/>
      <c r="E155" s="363"/>
      <c r="F155" s="371"/>
      <c r="G155" s="368"/>
    </row>
    <row r="156" spans="1:7" ht="15.75" x14ac:dyDescent="0.2">
      <c r="A156" s="368"/>
      <c r="B156" s="289"/>
      <c r="C156" s="289"/>
      <c r="D156" s="585"/>
      <c r="E156" s="363"/>
      <c r="F156" s="371"/>
      <c r="G156" s="368"/>
    </row>
    <row r="157" spans="1:7" ht="15.75" x14ac:dyDescent="0.2">
      <c r="A157" s="368"/>
      <c r="B157" s="289"/>
      <c r="C157" s="289"/>
      <c r="D157" s="585"/>
      <c r="E157" s="363"/>
      <c r="F157" s="371"/>
      <c r="G157" s="368"/>
    </row>
    <row r="158" spans="1:7" ht="15.75" x14ac:dyDescent="0.2">
      <c r="A158" s="368"/>
      <c r="B158" s="289"/>
      <c r="C158" s="289"/>
      <c r="D158" s="585"/>
      <c r="E158" s="363"/>
      <c r="F158" s="371"/>
      <c r="G158" s="368"/>
    </row>
    <row r="159" spans="1:7" ht="15.75" x14ac:dyDescent="0.2">
      <c r="A159" s="368"/>
      <c r="B159" s="289"/>
      <c r="C159" s="289"/>
      <c r="D159" s="585"/>
      <c r="E159" s="363"/>
      <c r="F159" s="371"/>
      <c r="G159" s="368"/>
    </row>
    <row r="160" spans="1:7" ht="15.75" x14ac:dyDescent="0.2">
      <c r="A160" s="368"/>
      <c r="B160" s="289"/>
      <c r="C160" s="289"/>
      <c r="D160" s="585"/>
      <c r="E160" s="363"/>
      <c r="F160" s="371"/>
      <c r="G160" s="368"/>
    </row>
    <row r="161" spans="1:7" ht="15.75" x14ac:dyDescent="0.2">
      <c r="A161" s="368"/>
      <c r="B161" s="289"/>
      <c r="C161" s="289"/>
      <c r="D161" s="585"/>
      <c r="E161" s="363"/>
      <c r="F161" s="371"/>
      <c r="G161" s="368"/>
    </row>
    <row r="162" spans="1:7" ht="15.75" x14ac:dyDescent="0.2">
      <c r="A162" s="368"/>
      <c r="B162" s="289"/>
      <c r="C162" s="289"/>
      <c r="D162" s="585"/>
      <c r="E162" s="363"/>
      <c r="F162" s="371"/>
      <c r="G162" s="368"/>
    </row>
    <row r="163" spans="1:7" ht="15.75" x14ac:dyDescent="0.2">
      <c r="A163" s="368"/>
      <c r="B163" s="289"/>
      <c r="C163" s="289"/>
      <c r="D163" s="585"/>
      <c r="E163" s="363"/>
      <c r="F163" s="371"/>
      <c r="G163" s="368"/>
    </row>
    <row r="164" spans="1:7" ht="15.75" x14ac:dyDescent="0.2">
      <c r="A164" s="368"/>
      <c r="B164" s="289"/>
      <c r="C164" s="289"/>
      <c r="D164" s="585"/>
      <c r="E164" s="363"/>
      <c r="F164" s="371"/>
      <c r="G164" s="368"/>
    </row>
    <row r="165" spans="1:7" ht="15.75" x14ac:dyDescent="0.2">
      <c r="A165" s="368"/>
      <c r="B165" s="289"/>
      <c r="C165" s="289"/>
      <c r="D165" s="585"/>
      <c r="E165" s="363"/>
      <c r="F165" s="371"/>
      <c r="G165" s="368"/>
    </row>
    <row r="166" spans="1:7" ht="15.75" x14ac:dyDescent="0.2">
      <c r="A166" s="368"/>
      <c r="B166" s="289"/>
      <c r="C166" s="289"/>
      <c r="D166" s="585"/>
      <c r="E166" s="363"/>
      <c r="F166" s="371"/>
      <c r="G166" s="368"/>
    </row>
    <row r="167" spans="1:7" ht="15.75" x14ac:dyDescent="0.2">
      <c r="A167" s="368"/>
      <c r="B167" s="289"/>
      <c r="C167" s="289"/>
      <c r="D167" s="585"/>
      <c r="E167" s="363"/>
      <c r="F167" s="371"/>
      <c r="G167" s="368"/>
    </row>
    <row r="168" spans="1:7" ht="15.75" x14ac:dyDescent="0.2">
      <c r="A168" s="368"/>
      <c r="B168" s="289"/>
      <c r="C168" s="289"/>
      <c r="D168" s="585"/>
      <c r="E168" s="363"/>
      <c r="F168" s="371"/>
      <c r="G168" s="368"/>
    </row>
    <row r="169" spans="1:7" ht="15.75" x14ac:dyDescent="0.2">
      <c r="A169" s="368"/>
      <c r="B169" s="289"/>
      <c r="C169" s="289"/>
      <c r="D169" s="585"/>
      <c r="E169" s="363"/>
      <c r="F169" s="371"/>
      <c r="G169" s="368"/>
    </row>
    <row r="170" spans="1:7" ht="15.75" x14ac:dyDescent="0.2">
      <c r="A170" s="368"/>
      <c r="B170" s="289"/>
      <c r="C170" s="289"/>
      <c r="D170" s="585"/>
      <c r="E170" s="363"/>
      <c r="F170" s="371"/>
      <c r="G170" s="368"/>
    </row>
    <row r="171" spans="1:7" ht="15.75" x14ac:dyDescent="0.2">
      <c r="A171" s="368"/>
      <c r="B171" s="289"/>
      <c r="C171" s="289"/>
      <c r="D171" s="585"/>
      <c r="E171" s="363"/>
      <c r="F171" s="371"/>
      <c r="G171" s="368"/>
    </row>
    <row r="172" spans="1:7" ht="15.75" x14ac:dyDescent="0.2">
      <c r="A172" s="368"/>
      <c r="B172" s="289"/>
      <c r="C172" s="289"/>
      <c r="D172" s="585"/>
      <c r="E172" s="363"/>
      <c r="F172" s="371"/>
      <c r="G172" s="368"/>
    </row>
    <row r="173" spans="1:7" ht="15.75" x14ac:dyDescent="0.2">
      <c r="A173" s="368"/>
      <c r="B173" s="289"/>
      <c r="C173" s="289"/>
      <c r="D173" s="585"/>
      <c r="E173" s="363"/>
      <c r="F173" s="371"/>
      <c r="G173" s="368"/>
    </row>
    <row r="174" spans="1:7" ht="15.75" x14ac:dyDescent="0.2">
      <c r="A174" s="368"/>
      <c r="B174" s="289"/>
      <c r="C174" s="289"/>
      <c r="D174" s="585"/>
      <c r="E174" s="363"/>
      <c r="F174" s="371"/>
      <c r="G174" s="368"/>
    </row>
    <row r="175" spans="1:7" ht="15.75" x14ac:dyDescent="0.2">
      <c r="A175" s="368"/>
      <c r="B175" s="289"/>
      <c r="C175" s="289"/>
      <c r="D175" s="585"/>
      <c r="E175" s="363"/>
      <c r="F175" s="371"/>
      <c r="G175" s="368"/>
    </row>
    <row r="176" spans="1:7" ht="15.75" x14ac:dyDescent="0.2">
      <c r="A176" s="368"/>
      <c r="B176" s="289"/>
      <c r="C176" s="289"/>
      <c r="D176" s="585"/>
      <c r="E176" s="363"/>
      <c r="F176" s="371"/>
      <c r="G176" s="368"/>
    </row>
    <row r="177" spans="1:7" ht="15.75" x14ac:dyDescent="0.2">
      <c r="A177" s="368"/>
      <c r="B177" s="289"/>
      <c r="C177" s="289"/>
      <c r="D177" s="585"/>
      <c r="E177" s="363"/>
      <c r="F177" s="371"/>
      <c r="G177" s="368"/>
    </row>
    <row r="178" spans="1:7" ht="15.75" x14ac:dyDescent="0.2">
      <c r="A178" s="368"/>
      <c r="B178" s="289"/>
      <c r="C178" s="289"/>
      <c r="D178" s="585"/>
      <c r="E178" s="363"/>
      <c r="F178" s="371"/>
      <c r="G178" s="368"/>
    </row>
    <row r="179" spans="1:7" ht="15.75" x14ac:dyDescent="0.2">
      <c r="A179" s="368"/>
      <c r="B179" s="289"/>
      <c r="C179" s="289"/>
      <c r="D179" s="585"/>
      <c r="E179" s="363"/>
      <c r="F179" s="371"/>
      <c r="G179" s="368"/>
    </row>
    <row r="180" spans="1:7" ht="15.75" x14ac:dyDescent="0.2">
      <c r="A180" s="368"/>
      <c r="B180" s="289"/>
      <c r="C180" s="289"/>
      <c r="D180" s="585"/>
      <c r="E180" s="363"/>
      <c r="F180" s="371"/>
      <c r="G180" s="368"/>
    </row>
    <row r="181" spans="1:7" ht="15.75" x14ac:dyDescent="0.2">
      <c r="A181" s="368"/>
      <c r="B181" s="289"/>
      <c r="C181" s="289"/>
      <c r="D181" s="585"/>
      <c r="E181" s="363"/>
      <c r="F181" s="371"/>
      <c r="G181" s="368"/>
    </row>
    <row r="182" spans="1:7" ht="15.75" x14ac:dyDescent="0.2">
      <c r="A182" s="368"/>
      <c r="B182" s="289"/>
      <c r="C182" s="289"/>
      <c r="D182" s="585"/>
      <c r="E182" s="363"/>
      <c r="F182" s="371"/>
      <c r="G182" s="368"/>
    </row>
    <row r="183" spans="1:7" ht="15.75" x14ac:dyDescent="0.2">
      <c r="A183" s="368"/>
      <c r="B183" s="289"/>
      <c r="C183" s="289"/>
      <c r="D183" s="585"/>
      <c r="E183" s="363"/>
      <c r="F183" s="371"/>
      <c r="G183" s="368"/>
    </row>
    <row r="184" spans="1:7" ht="15.75" x14ac:dyDescent="0.2">
      <c r="A184" s="368"/>
      <c r="B184" s="289"/>
      <c r="C184" s="289"/>
      <c r="D184" s="585"/>
      <c r="E184" s="363"/>
      <c r="F184" s="371"/>
      <c r="G184" s="368"/>
    </row>
    <row r="185" spans="1:7" ht="15.75" x14ac:dyDescent="0.2">
      <c r="A185" s="368"/>
      <c r="B185" s="289"/>
      <c r="C185" s="289"/>
      <c r="D185" s="585"/>
      <c r="E185" s="363"/>
      <c r="F185" s="371"/>
      <c r="G185" s="368"/>
    </row>
    <row r="186" spans="1:7" ht="15.75" x14ac:dyDescent="0.2">
      <c r="A186" s="368"/>
      <c r="B186" s="289"/>
      <c r="C186" s="289"/>
      <c r="D186" s="585"/>
      <c r="E186" s="363"/>
      <c r="F186" s="371"/>
      <c r="G186" s="368"/>
    </row>
    <row r="187" spans="1:7" ht="15.75" x14ac:dyDescent="0.2">
      <c r="A187" s="368"/>
      <c r="B187" s="289"/>
      <c r="C187" s="289"/>
      <c r="D187" s="585"/>
      <c r="E187" s="363"/>
      <c r="F187" s="371"/>
      <c r="G187" s="368"/>
    </row>
    <row r="188" spans="1:7" ht="15.75" x14ac:dyDescent="0.2">
      <c r="A188" s="368"/>
      <c r="B188" s="289"/>
      <c r="C188" s="289"/>
      <c r="D188" s="585"/>
      <c r="E188" s="363"/>
      <c r="F188" s="371"/>
      <c r="G188" s="368"/>
    </row>
    <row r="189" spans="1:7" ht="15.75" x14ac:dyDescent="0.2">
      <c r="A189" s="368"/>
      <c r="B189" s="289"/>
      <c r="C189" s="289"/>
      <c r="D189" s="585"/>
      <c r="E189" s="363"/>
      <c r="F189" s="371"/>
      <c r="G189" s="368"/>
    </row>
    <row r="190" spans="1:7" ht="15.75" x14ac:dyDescent="0.2">
      <c r="A190" s="368"/>
      <c r="B190" s="289"/>
      <c r="C190" s="289"/>
      <c r="D190" s="585"/>
      <c r="E190" s="363"/>
      <c r="F190" s="371"/>
      <c r="G190" s="368"/>
    </row>
    <row r="191" spans="1:7" ht="15.75" x14ac:dyDescent="0.2">
      <c r="A191" s="368"/>
      <c r="B191" s="289"/>
      <c r="C191" s="289"/>
      <c r="D191" s="585"/>
      <c r="E191" s="363"/>
      <c r="F191" s="371"/>
      <c r="G191" s="368"/>
    </row>
    <row r="192" spans="1:7" ht="15.75" x14ac:dyDescent="0.2">
      <c r="A192" s="368"/>
      <c r="B192" s="289"/>
      <c r="C192" s="289"/>
      <c r="D192" s="585"/>
      <c r="E192" s="363"/>
      <c r="F192" s="371"/>
      <c r="G192" s="368"/>
    </row>
    <row r="193" spans="1:7" ht="15.75" x14ac:dyDescent="0.2">
      <c r="A193" s="368"/>
      <c r="B193" s="289"/>
      <c r="C193" s="289"/>
      <c r="D193" s="585"/>
      <c r="E193" s="363"/>
      <c r="F193" s="371"/>
      <c r="G193" s="368"/>
    </row>
    <row r="194" spans="1:7" ht="15.75" x14ac:dyDescent="0.2">
      <c r="A194" s="368"/>
      <c r="B194" s="289"/>
      <c r="C194" s="289"/>
      <c r="D194" s="585"/>
      <c r="E194" s="363"/>
      <c r="F194" s="371"/>
      <c r="G194" s="368"/>
    </row>
    <row r="195" spans="1:7" ht="15.75" x14ac:dyDescent="0.2">
      <c r="A195" s="368"/>
      <c r="B195" s="289"/>
      <c r="C195" s="289"/>
      <c r="D195" s="585"/>
      <c r="E195" s="363"/>
      <c r="F195" s="371"/>
      <c r="G195" s="368"/>
    </row>
    <row r="196" spans="1:7" ht="15.75" x14ac:dyDescent="0.2">
      <c r="A196" s="368"/>
      <c r="B196" s="289"/>
      <c r="C196" s="289"/>
      <c r="D196" s="585"/>
      <c r="E196" s="363"/>
      <c r="F196" s="371"/>
      <c r="G196" s="368"/>
    </row>
    <row r="197" spans="1:7" ht="15.75" x14ac:dyDescent="0.2">
      <c r="A197" s="368"/>
      <c r="B197" s="289"/>
      <c r="C197" s="289"/>
      <c r="D197" s="585"/>
      <c r="E197" s="363"/>
      <c r="F197" s="371"/>
      <c r="G197" s="368"/>
    </row>
    <row r="198" spans="1:7" ht="15.75" x14ac:dyDescent="0.2">
      <c r="A198" s="368"/>
      <c r="B198" s="289"/>
      <c r="C198" s="289"/>
      <c r="D198" s="585"/>
      <c r="E198" s="363"/>
      <c r="F198" s="371"/>
      <c r="G198" s="368"/>
    </row>
    <row r="199" spans="1:7" ht="15.75" x14ac:dyDescent="0.2">
      <c r="A199" s="368"/>
      <c r="B199" s="289"/>
      <c r="C199" s="289"/>
      <c r="D199" s="585"/>
      <c r="E199" s="363"/>
      <c r="F199" s="371"/>
      <c r="G199" s="368"/>
    </row>
    <row r="200" spans="1:7" ht="15.75" x14ac:dyDescent="0.2">
      <c r="A200" s="368"/>
      <c r="B200" s="289"/>
      <c r="C200" s="289"/>
      <c r="D200" s="585"/>
      <c r="E200" s="363"/>
      <c r="F200" s="371"/>
      <c r="G200" s="368"/>
    </row>
    <row r="201" spans="1:7" ht="15.75" x14ac:dyDescent="0.2">
      <c r="A201" s="368"/>
      <c r="B201" s="289"/>
      <c r="C201" s="289"/>
      <c r="D201" s="585"/>
      <c r="E201" s="363"/>
      <c r="F201" s="371"/>
      <c r="G201" s="368"/>
    </row>
    <row r="202" spans="1:7" ht="15.75" x14ac:dyDescent="0.2">
      <c r="A202" s="368"/>
      <c r="B202" s="289"/>
      <c r="C202" s="289"/>
      <c r="D202" s="585"/>
      <c r="E202" s="363"/>
      <c r="F202" s="371"/>
      <c r="G202" s="368"/>
    </row>
    <row r="203" spans="1:7" ht="15.75" x14ac:dyDescent="0.2">
      <c r="A203" s="368"/>
      <c r="B203" s="289"/>
      <c r="C203" s="289"/>
      <c r="D203" s="585"/>
      <c r="E203" s="363"/>
      <c r="F203" s="371"/>
      <c r="G203" s="368"/>
    </row>
    <row r="204" spans="1:7" ht="15.75" x14ac:dyDescent="0.2">
      <c r="A204" s="368"/>
      <c r="B204" s="289"/>
      <c r="C204" s="289"/>
      <c r="D204" s="585"/>
      <c r="E204" s="363"/>
      <c r="F204" s="371"/>
      <c r="G204" s="368"/>
    </row>
    <row r="205" spans="1:7" ht="15.75" x14ac:dyDescent="0.2">
      <c r="A205" s="368"/>
      <c r="B205" s="289"/>
      <c r="C205" s="289"/>
      <c r="D205" s="585"/>
      <c r="E205" s="363"/>
      <c r="F205" s="371"/>
      <c r="G205" s="368"/>
    </row>
    <row r="206" spans="1:7" ht="15.75" x14ac:dyDescent="0.2">
      <c r="A206" s="368"/>
      <c r="B206" s="289"/>
      <c r="C206" s="289"/>
      <c r="D206" s="585"/>
      <c r="E206" s="363"/>
      <c r="F206" s="371"/>
      <c r="G206" s="368"/>
    </row>
    <row r="207" spans="1:7" ht="15.75" x14ac:dyDescent="0.2">
      <c r="A207" s="368"/>
      <c r="B207" s="289"/>
      <c r="C207" s="289"/>
      <c r="D207" s="585"/>
      <c r="E207" s="363"/>
      <c r="F207" s="371"/>
      <c r="G207" s="368"/>
    </row>
    <row r="208" spans="1:7" ht="15.75" x14ac:dyDescent="0.2">
      <c r="A208" s="368"/>
      <c r="B208" s="289"/>
      <c r="C208" s="289"/>
      <c r="D208" s="585"/>
      <c r="E208" s="363"/>
      <c r="F208" s="371"/>
      <c r="G208" s="368"/>
    </row>
    <row r="209" spans="1:7" ht="15.75" x14ac:dyDescent="0.2">
      <c r="A209" s="368"/>
      <c r="B209" s="289"/>
      <c r="C209" s="289"/>
      <c r="D209" s="585"/>
      <c r="E209" s="363"/>
      <c r="F209" s="371"/>
      <c r="G209" s="368"/>
    </row>
    <row r="210" spans="1:7" ht="15.75" x14ac:dyDescent="0.2">
      <c r="A210" s="368"/>
      <c r="B210" s="289"/>
      <c r="C210" s="289"/>
      <c r="D210" s="585"/>
      <c r="E210" s="363"/>
      <c r="F210" s="371"/>
      <c r="G210" s="368"/>
    </row>
    <row r="211" spans="1:7" ht="15.75" x14ac:dyDescent="0.2">
      <c r="A211" s="368"/>
      <c r="B211" s="289"/>
      <c r="C211" s="289"/>
      <c r="D211" s="585"/>
      <c r="E211" s="363"/>
      <c r="F211" s="371"/>
      <c r="G211" s="368"/>
    </row>
    <row r="212" spans="1:7" ht="15.75" x14ac:dyDescent="0.2">
      <c r="A212" s="368"/>
      <c r="B212" s="289"/>
      <c r="C212" s="289"/>
      <c r="D212" s="585"/>
      <c r="E212" s="363"/>
      <c r="F212" s="371"/>
      <c r="G212" s="368"/>
    </row>
    <row r="213" spans="1:7" ht="15.75" x14ac:dyDescent="0.2">
      <c r="A213" s="368"/>
      <c r="B213" s="289"/>
      <c r="C213" s="289"/>
      <c r="D213" s="585"/>
      <c r="E213" s="363"/>
      <c r="F213" s="371"/>
      <c r="G213" s="368"/>
    </row>
    <row r="214" spans="1:7" ht="15.75" x14ac:dyDescent="0.2">
      <c r="A214" s="368"/>
      <c r="B214" s="289"/>
      <c r="C214" s="289"/>
      <c r="D214" s="585"/>
      <c r="E214" s="363"/>
      <c r="F214" s="371"/>
      <c r="G214" s="368"/>
    </row>
    <row r="215" spans="1:7" ht="15.75" x14ac:dyDescent="0.2">
      <c r="A215" s="368"/>
      <c r="B215" s="289"/>
      <c r="C215" s="289"/>
      <c r="D215" s="585"/>
      <c r="E215" s="363"/>
      <c r="F215" s="371"/>
      <c r="G215" s="368"/>
    </row>
    <row r="216" spans="1:7" ht="15.75" x14ac:dyDescent="0.2">
      <c r="A216" s="368"/>
      <c r="B216" s="289"/>
      <c r="C216" s="289"/>
      <c r="D216" s="585"/>
      <c r="E216" s="363"/>
      <c r="F216" s="371"/>
      <c r="G216" s="368"/>
    </row>
    <row r="217" spans="1:7" ht="15.75" x14ac:dyDescent="0.2">
      <c r="A217" s="368"/>
      <c r="B217" s="289"/>
      <c r="C217" s="289"/>
      <c r="D217" s="585"/>
      <c r="E217" s="363"/>
      <c r="F217" s="371"/>
      <c r="G217" s="368"/>
    </row>
    <row r="218" spans="1:7" ht="15.75" x14ac:dyDescent="0.2">
      <c r="A218" s="368"/>
      <c r="B218" s="289"/>
      <c r="C218" s="289"/>
      <c r="D218" s="585"/>
      <c r="E218" s="363"/>
      <c r="F218" s="371"/>
      <c r="G218" s="368"/>
    </row>
    <row r="219" spans="1:7" ht="15.75" x14ac:dyDescent="0.2">
      <c r="A219" s="368"/>
      <c r="B219" s="289"/>
      <c r="C219" s="289"/>
      <c r="D219" s="585"/>
      <c r="E219" s="363"/>
      <c r="F219" s="371"/>
      <c r="G219" s="368"/>
    </row>
    <row r="220" spans="1:7" ht="15.75" x14ac:dyDescent="0.2">
      <c r="A220" s="368"/>
      <c r="B220" s="289"/>
      <c r="C220" s="289"/>
      <c r="D220" s="585"/>
      <c r="E220" s="363"/>
      <c r="F220" s="371"/>
      <c r="G220" s="368"/>
    </row>
    <row r="221" spans="1:7" ht="15.75" x14ac:dyDescent="0.2">
      <c r="A221" s="368"/>
      <c r="B221" s="289"/>
      <c r="C221" s="289"/>
      <c r="D221" s="585"/>
      <c r="E221" s="363"/>
      <c r="F221" s="371"/>
      <c r="G221" s="368"/>
    </row>
    <row r="222" spans="1:7" ht="15.75" x14ac:dyDescent="0.2">
      <c r="A222" s="368"/>
      <c r="B222" s="289"/>
      <c r="C222" s="289"/>
      <c r="D222" s="585"/>
      <c r="E222" s="363"/>
      <c r="F222" s="371"/>
      <c r="G222" s="368"/>
    </row>
    <row r="223" spans="1:7" ht="15.75" x14ac:dyDescent="0.2">
      <c r="A223" s="368"/>
      <c r="B223" s="289"/>
      <c r="C223" s="289"/>
      <c r="D223" s="585"/>
      <c r="E223" s="363"/>
      <c r="F223" s="371"/>
      <c r="G223" s="368"/>
    </row>
    <row r="224" spans="1:7" ht="15.75" x14ac:dyDescent="0.2">
      <c r="A224" s="368"/>
      <c r="B224" s="289"/>
      <c r="C224" s="289"/>
      <c r="D224" s="585"/>
      <c r="E224" s="363"/>
      <c r="F224" s="371"/>
      <c r="G224" s="368"/>
    </row>
    <row r="225" spans="1:7" ht="15.75" x14ac:dyDescent="0.2">
      <c r="A225" s="368"/>
      <c r="B225" s="289"/>
      <c r="C225" s="289"/>
      <c r="D225" s="585"/>
      <c r="E225" s="363"/>
      <c r="F225" s="371"/>
      <c r="G225" s="368"/>
    </row>
    <row r="226" spans="1:7" ht="15.75" x14ac:dyDescent="0.2">
      <c r="A226" s="368"/>
      <c r="B226" s="289"/>
      <c r="C226" s="289"/>
      <c r="D226" s="585"/>
      <c r="E226" s="363"/>
      <c r="F226" s="371"/>
      <c r="G226" s="368"/>
    </row>
    <row r="227" spans="1:7" ht="15.75" x14ac:dyDescent="0.2">
      <c r="A227" s="368"/>
      <c r="B227" s="289"/>
      <c r="C227" s="289"/>
      <c r="D227" s="585"/>
      <c r="E227" s="363"/>
      <c r="F227" s="371"/>
      <c r="G227" s="368"/>
    </row>
    <row r="228" spans="1:7" ht="15.75" x14ac:dyDescent="0.2">
      <c r="A228" s="368"/>
      <c r="B228" s="289"/>
      <c r="C228" s="289"/>
      <c r="D228" s="585"/>
      <c r="E228" s="363"/>
      <c r="F228" s="371"/>
      <c r="G228" s="368"/>
    </row>
    <row r="229" spans="1:7" ht="15.75" x14ac:dyDescent="0.2">
      <c r="A229" s="368"/>
      <c r="B229" s="289"/>
      <c r="C229" s="289"/>
      <c r="D229" s="585"/>
      <c r="E229" s="363"/>
      <c r="F229" s="371"/>
      <c r="G229" s="368"/>
    </row>
    <row r="230" spans="1:7" ht="15.75" x14ac:dyDescent="0.2">
      <c r="A230" s="368"/>
      <c r="B230" s="289"/>
      <c r="C230" s="289"/>
      <c r="D230" s="585"/>
      <c r="E230" s="363"/>
      <c r="F230" s="371"/>
      <c r="G230" s="368"/>
    </row>
    <row r="231" spans="1:7" ht="15.75" x14ac:dyDescent="0.2">
      <c r="A231" s="368"/>
      <c r="B231" s="289"/>
      <c r="C231" s="289"/>
      <c r="D231" s="585"/>
      <c r="E231" s="363"/>
      <c r="F231" s="371"/>
      <c r="G231" s="368"/>
    </row>
    <row r="232" spans="1:7" ht="15.75" x14ac:dyDescent="0.2">
      <c r="A232" s="368"/>
      <c r="B232" s="289"/>
      <c r="C232" s="289"/>
      <c r="D232" s="585"/>
      <c r="E232" s="363"/>
      <c r="F232" s="371"/>
      <c r="G232" s="368"/>
    </row>
    <row r="233" spans="1:7" ht="15.75" x14ac:dyDescent="0.2">
      <c r="A233" s="368"/>
      <c r="B233" s="289"/>
      <c r="C233" s="289"/>
      <c r="D233" s="585"/>
      <c r="E233" s="363"/>
      <c r="F233" s="371"/>
      <c r="G233" s="368"/>
    </row>
    <row r="234" spans="1:7" ht="15.75" x14ac:dyDescent="0.2">
      <c r="A234" s="368"/>
      <c r="B234" s="289"/>
      <c r="C234" s="289"/>
      <c r="D234" s="585"/>
      <c r="E234" s="363"/>
      <c r="F234" s="371"/>
      <c r="G234" s="368"/>
    </row>
    <row r="235" spans="1:7" ht="15.75" x14ac:dyDescent="0.2">
      <c r="A235" s="368"/>
      <c r="B235" s="289"/>
      <c r="C235" s="289"/>
      <c r="D235" s="585"/>
      <c r="E235" s="363"/>
      <c r="F235" s="371"/>
      <c r="G235" s="368"/>
    </row>
    <row r="236" spans="1:7" ht="15.75" x14ac:dyDescent="0.2">
      <c r="A236" s="368"/>
      <c r="B236" s="289"/>
      <c r="C236" s="289"/>
      <c r="D236" s="585"/>
      <c r="E236" s="363"/>
      <c r="F236" s="371"/>
      <c r="G236" s="368"/>
    </row>
    <row r="237" spans="1:7" ht="15.75" x14ac:dyDescent="0.2">
      <c r="A237" s="368"/>
      <c r="B237" s="289"/>
      <c r="C237" s="289"/>
      <c r="D237" s="585"/>
      <c r="E237" s="363"/>
      <c r="F237" s="371"/>
      <c r="G237" s="368"/>
    </row>
    <row r="238" spans="1:7" ht="15.75" x14ac:dyDescent="0.2">
      <c r="A238" s="368"/>
      <c r="B238" s="289"/>
      <c r="C238" s="289"/>
      <c r="D238" s="585"/>
      <c r="E238" s="363"/>
      <c r="F238" s="371"/>
      <c r="G238" s="368"/>
    </row>
    <row r="239" spans="1:7" ht="15.75" x14ac:dyDescent="0.2">
      <c r="A239" s="368"/>
      <c r="B239" s="289"/>
      <c r="C239" s="289"/>
      <c r="D239" s="585"/>
      <c r="E239" s="363"/>
      <c r="F239" s="371"/>
      <c r="G239" s="368"/>
    </row>
    <row r="240" spans="1:7" ht="15.75" x14ac:dyDescent="0.2">
      <c r="A240" s="368"/>
      <c r="B240" s="289"/>
      <c r="C240" s="289"/>
      <c r="D240" s="585"/>
      <c r="E240" s="363"/>
      <c r="F240" s="371"/>
      <c r="G240" s="368"/>
    </row>
    <row r="241" spans="1:7" ht="15.75" x14ac:dyDescent="0.2">
      <c r="A241" s="368"/>
      <c r="B241" s="289"/>
      <c r="C241" s="289"/>
      <c r="D241" s="585"/>
      <c r="E241" s="363"/>
      <c r="F241" s="371"/>
      <c r="G241" s="368"/>
    </row>
    <row r="242" spans="1:7" ht="15.75" x14ac:dyDescent="0.2">
      <c r="A242" s="368"/>
      <c r="B242" s="289"/>
      <c r="C242" s="289"/>
      <c r="D242" s="585"/>
      <c r="E242" s="363"/>
      <c r="F242" s="371"/>
      <c r="G242" s="368"/>
    </row>
    <row r="243" spans="1:7" ht="15.75" x14ac:dyDescent="0.2">
      <c r="A243" s="368"/>
      <c r="B243" s="289"/>
      <c r="C243" s="289"/>
      <c r="D243" s="585"/>
      <c r="E243" s="363"/>
      <c r="F243" s="371"/>
      <c r="G243" s="368"/>
    </row>
    <row r="244" spans="1:7" ht="15.75" x14ac:dyDescent="0.2">
      <c r="A244" s="368"/>
      <c r="B244" s="289"/>
      <c r="C244" s="289"/>
      <c r="D244" s="585"/>
      <c r="E244" s="363"/>
      <c r="F244" s="371"/>
      <c r="G244" s="368"/>
    </row>
    <row r="245" spans="1:7" ht="15.75" x14ac:dyDescent="0.2">
      <c r="A245" s="368"/>
      <c r="B245" s="289"/>
      <c r="C245" s="289"/>
      <c r="D245" s="585"/>
      <c r="E245" s="363"/>
      <c r="F245" s="371"/>
      <c r="G245" s="368"/>
    </row>
    <row r="246" spans="1:7" ht="15.75" x14ac:dyDescent="0.2">
      <c r="A246" s="368"/>
      <c r="B246" s="289"/>
      <c r="C246" s="289"/>
      <c r="D246" s="585"/>
      <c r="E246" s="363"/>
      <c r="F246" s="371"/>
      <c r="G246" s="368"/>
    </row>
    <row r="247" spans="1:7" ht="15.75" x14ac:dyDescent="0.2">
      <c r="A247" s="368"/>
      <c r="B247" s="289"/>
      <c r="C247" s="289"/>
      <c r="D247" s="585"/>
      <c r="E247" s="363"/>
      <c r="F247" s="371"/>
      <c r="G247" s="368"/>
    </row>
    <row r="248" spans="1:7" ht="15.75" x14ac:dyDescent="0.2">
      <c r="A248" s="368"/>
      <c r="B248" s="289"/>
      <c r="C248" s="289"/>
      <c r="D248" s="585"/>
      <c r="E248" s="363"/>
      <c r="F248" s="371"/>
      <c r="G248" s="368"/>
    </row>
    <row r="249" spans="1:7" ht="15.75" x14ac:dyDescent="0.2">
      <c r="A249" s="368"/>
      <c r="B249" s="289"/>
      <c r="C249" s="289"/>
      <c r="D249" s="585"/>
      <c r="E249" s="363"/>
      <c r="F249" s="371"/>
      <c r="G249" s="368"/>
    </row>
    <row r="250" spans="1:7" ht="15.75" x14ac:dyDescent="0.2">
      <c r="A250" s="368"/>
      <c r="B250" s="289"/>
      <c r="C250" s="289"/>
      <c r="D250" s="585"/>
      <c r="E250" s="363"/>
      <c r="F250" s="371"/>
      <c r="G250" s="368"/>
    </row>
    <row r="251" spans="1:7" ht="15.75" x14ac:dyDescent="0.2">
      <c r="A251" s="368"/>
      <c r="B251" s="289"/>
      <c r="C251" s="289"/>
      <c r="D251" s="585"/>
      <c r="E251" s="363"/>
      <c r="F251" s="371"/>
      <c r="G251" s="368"/>
    </row>
    <row r="252" spans="1:7" ht="15.75" x14ac:dyDescent="0.2">
      <c r="A252" s="368"/>
      <c r="B252" s="289"/>
      <c r="C252" s="289"/>
      <c r="D252" s="585"/>
      <c r="E252" s="363"/>
      <c r="F252" s="371"/>
      <c r="G252" s="368"/>
    </row>
    <row r="253" spans="1:7" ht="15.75" x14ac:dyDescent="0.2">
      <c r="A253" s="368"/>
      <c r="B253" s="289"/>
      <c r="C253" s="289"/>
      <c r="D253" s="585"/>
      <c r="E253" s="363"/>
      <c r="F253" s="371"/>
      <c r="G253" s="368"/>
    </row>
    <row r="254" spans="1:7" ht="15.75" x14ac:dyDescent="0.2">
      <c r="A254" s="368"/>
      <c r="B254" s="289"/>
      <c r="C254" s="289"/>
      <c r="D254" s="585"/>
      <c r="E254" s="363"/>
      <c r="F254" s="371"/>
      <c r="G254" s="368"/>
    </row>
    <row r="255" spans="1:7" ht="15.75" x14ac:dyDescent="0.2">
      <c r="A255" s="368"/>
      <c r="B255" s="289"/>
      <c r="C255" s="289"/>
      <c r="D255" s="585"/>
      <c r="E255" s="363"/>
      <c r="F255" s="371"/>
      <c r="G255" s="368"/>
    </row>
    <row r="256" spans="1:7" ht="15.75" x14ac:dyDescent="0.2">
      <c r="A256" s="368"/>
      <c r="B256" s="289"/>
      <c r="C256" s="289"/>
      <c r="D256" s="585"/>
      <c r="E256" s="363"/>
      <c r="F256" s="371"/>
      <c r="G256" s="368"/>
    </row>
    <row r="257" spans="1:7" ht="15.75" x14ac:dyDescent="0.2">
      <c r="A257" s="368"/>
      <c r="B257" s="289"/>
      <c r="C257" s="289"/>
      <c r="D257" s="585"/>
      <c r="E257" s="363"/>
      <c r="F257" s="371"/>
      <c r="G257" s="368"/>
    </row>
    <row r="258" spans="1:7" ht="15.75" x14ac:dyDescent="0.2">
      <c r="A258" s="368"/>
      <c r="B258" s="289"/>
      <c r="C258" s="289"/>
      <c r="D258" s="585"/>
      <c r="E258" s="363"/>
      <c r="F258" s="371"/>
      <c r="G258" s="368"/>
    </row>
    <row r="259" spans="1:7" ht="15.75" x14ac:dyDescent="0.2">
      <c r="A259" s="368"/>
      <c r="B259" s="289"/>
      <c r="C259" s="289"/>
      <c r="D259" s="585"/>
      <c r="E259" s="363"/>
      <c r="F259" s="371"/>
      <c r="G259" s="368"/>
    </row>
    <row r="260" spans="1:7" ht="15.75" x14ac:dyDescent="0.2">
      <c r="A260" s="368"/>
      <c r="B260" s="289"/>
      <c r="C260" s="289"/>
      <c r="D260" s="585"/>
      <c r="E260" s="363"/>
      <c r="F260" s="371"/>
      <c r="G260" s="368"/>
    </row>
    <row r="261" spans="1:7" ht="15.75" x14ac:dyDescent="0.2">
      <c r="A261" s="368"/>
      <c r="B261" s="289"/>
      <c r="C261" s="289"/>
      <c r="D261" s="585"/>
      <c r="E261" s="363"/>
      <c r="F261" s="371"/>
      <c r="G261" s="368"/>
    </row>
    <row r="262" spans="1:7" ht="15.75" x14ac:dyDescent="0.2">
      <c r="A262" s="368"/>
      <c r="B262" s="289"/>
      <c r="C262" s="289"/>
      <c r="D262" s="585"/>
      <c r="E262" s="363"/>
      <c r="F262" s="371"/>
      <c r="G262" s="368"/>
    </row>
    <row r="263" spans="1:7" ht="15.75" x14ac:dyDescent="0.2">
      <c r="A263" s="368"/>
      <c r="B263" s="289"/>
      <c r="C263" s="289"/>
      <c r="D263" s="585"/>
      <c r="E263" s="363"/>
      <c r="F263" s="371"/>
      <c r="G263" s="368"/>
    </row>
    <row r="264" spans="1:7" ht="15.75" x14ac:dyDescent="0.2">
      <c r="A264" s="368"/>
      <c r="B264" s="289"/>
      <c r="C264" s="289"/>
      <c r="D264" s="585"/>
      <c r="E264" s="363"/>
      <c r="F264" s="371"/>
      <c r="G264" s="368"/>
    </row>
    <row r="265" spans="1:7" ht="15.75" x14ac:dyDescent="0.2">
      <c r="A265" s="368"/>
      <c r="B265" s="289"/>
      <c r="C265" s="289"/>
      <c r="D265" s="585"/>
      <c r="E265" s="363"/>
      <c r="F265" s="371"/>
      <c r="G265" s="368"/>
    </row>
    <row r="266" spans="1:7" ht="15.75" x14ac:dyDescent="0.2">
      <c r="A266" s="368"/>
      <c r="B266" s="289"/>
      <c r="C266" s="289"/>
      <c r="D266" s="585"/>
      <c r="E266" s="363"/>
      <c r="F266" s="371"/>
      <c r="G266" s="368"/>
    </row>
    <row r="267" spans="1:7" ht="15.75" x14ac:dyDescent="0.2">
      <c r="A267" s="368"/>
      <c r="B267" s="289"/>
      <c r="C267" s="289"/>
      <c r="D267" s="585"/>
      <c r="E267" s="363"/>
      <c r="F267" s="371"/>
      <c r="G267" s="368"/>
    </row>
    <row r="268" spans="1:7" ht="15.75" x14ac:dyDescent="0.2">
      <c r="A268" s="368"/>
      <c r="B268" s="289"/>
      <c r="C268" s="289"/>
      <c r="D268" s="585"/>
      <c r="E268" s="363"/>
      <c r="F268" s="371"/>
      <c r="G268" s="368"/>
    </row>
    <row r="269" spans="1:7" ht="15.75" x14ac:dyDescent="0.2">
      <c r="A269" s="368"/>
      <c r="B269" s="289"/>
      <c r="C269" s="289"/>
      <c r="D269" s="585"/>
      <c r="E269" s="363"/>
      <c r="F269" s="371"/>
      <c r="G269" s="368"/>
    </row>
    <row r="270" spans="1:7" ht="15.75" x14ac:dyDescent="0.2">
      <c r="A270" s="368"/>
      <c r="B270" s="289"/>
      <c r="C270" s="289"/>
      <c r="D270" s="585"/>
      <c r="E270" s="363"/>
      <c r="F270" s="371"/>
      <c r="G270" s="368"/>
    </row>
    <row r="271" spans="1:7" ht="15.75" x14ac:dyDescent="0.2">
      <c r="A271" s="368"/>
      <c r="B271" s="289"/>
      <c r="C271" s="289"/>
      <c r="D271" s="585"/>
      <c r="E271" s="363"/>
      <c r="F271" s="371"/>
      <c r="G271" s="368"/>
    </row>
    <row r="272" spans="1:7" ht="15.75" x14ac:dyDescent="0.2">
      <c r="A272" s="368"/>
      <c r="B272" s="289"/>
      <c r="C272" s="289"/>
      <c r="D272" s="585"/>
      <c r="E272" s="363"/>
      <c r="F272" s="371"/>
      <c r="G272" s="368"/>
    </row>
    <row r="273" spans="1:7" ht="15.75" x14ac:dyDescent="0.2">
      <c r="A273" s="368"/>
      <c r="B273" s="289"/>
      <c r="C273" s="289"/>
      <c r="D273" s="585"/>
      <c r="E273" s="363"/>
      <c r="F273" s="371"/>
      <c r="G273" s="368"/>
    </row>
    <row r="274" spans="1:7" ht="15.75" x14ac:dyDescent="0.2">
      <c r="A274" s="368"/>
      <c r="B274" s="289"/>
      <c r="C274" s="289"/>
      <c r="D274" s="585"/>
      <c r="E274" s="363"/>
      <c r="F274" s="371"/>
      <c r="G274" s="368"/>
    </row>
    <row r="275" spans="1:7" ht="15.75" x14ac:dyDescent="0.2">
      <c r="A275" s="368"/>
      <c r="B275" s="289"/>
      <c r="C275" s="289"/>
      <c r="D275" s="585"/>
      <c r="E275" s="363"/>
      <c r="F275" s="371"/>
      <c r="G275" s="368"/>
    </row>
    <row r="276" spans="1:7" ht="15.75" x14ac:dyDescent="0.2">
      <c r="A276" s="368"/>
      <c r="B276" s="289"/>
      <c r="C276" s="289"/>
      <c r="D276" s="585"/>
      <c r="E276" s="363"/>
      <c r="F276" s="371"/>
      <c r="G276" s="368"/>
    </row>
    <row r="277" spans="1:7" ht="15.75" x14ac:dyDescent="0.2">
      <c r="A277" s="368"/>
      <c r="B277" s="289"/>
      <c r="C277" s="289"/>
      <c r="D277" s="585"/>
      <c r="E277" s="363"/>
      <c r="F277" s="371"/>
      <c r="G277" s="368"/>
    </row>
    <row r="278" spans="1:7" ht="15.75" x14ac:dyDescent="0.2">
      <c r="A278" s="368"/>
      <c r="B278" s="289"/>
      <c r="C278" s="289"/>
      <c r="D278" s="585"/>
      <c r="E278" s="363"/>
      <c r="F278" s="371"/>
      <c r="G278" s="368"/>
    </row>
    <row r="279" spans="1:7" x14ac:dyDescent="0.2">
      <c r="A279" s="368"/>
      <c r="B279" s="368"/>
      <c r="C279" s="368"/>
      <c r="D279" s="586"/>
      <c r="E279" s="387"/>
      <c r="F279" s="386"/>
      <c r="G279" s="368"/>
    </row>
    <row r="280" spans="1:7" x14ac:dyDescent="0.2">
      <c r="A280" s="368"/>
      <c r="B280" s="368"/>
      <c r="C280" s="368"/>
      <c r="D280" s="586"/>
      <c r="E280" s="387"/>
      <c r="F280" s="386"/>
      <c r="G280" s="368"/>
    </row>
    <row r="281" spans="1:7" x14ac:dyDescent="0.2">
      <c r="A281" s="352"/>
      <c r="B281" s="352"/>
      <c r="C281" s="352"/>
      <c r="D281" s="587"/>
      <c r="E281" s="389"/>
      <c r="F281" s="388"/>
      <c r="G281" s="352"/>
    </row>
    <row r="282" spans="1:7" x14ac:dyDescent="0.2">
      <c r="A282" s="352"/>
      <c r="B282" s="352"/>
      <c r="C282" s="352"/>
      <c r="D282" s="587"/>
      <c r="E282" s="389"/>
      <c r="F282" s="388"/>
      <c r="G282" s="352"/>
    </row>
    <row r="283" spans="1:7" x14ac:dyDescent="0.2">
      <c r="A283" s="352"/>
      <c r="B283" s="352"/>
      <c r="C283" s="352"/>
      <c r="D283" s="587"/>
      <c r="E283" s="389"/>
      <c r="F283" s="388"/>
      <c r="G283" s="352"/>
    </row>
    <row r="284" spans="1:7" x14ac:dyDescent="0.2">
      <c r="A284" s="352"/>
      <c r="B284" s="352"/>
      <c r="C284" s="352"/>
      <c r="D284" s="587"/>
      <c r="E284" s="389"/>
      <c r="F284" s="388"/>
      <c r="G284" s="352"/>
    </row>
    <row r="285" spans="1:7" x14ac:dyDescent="0.2">
      <c r="A285" s="352"/>
      <c r="B285" s="352"/>
      <c r="C285" s="352"/>
      <c r="D285" s="587"/>
      <c r="E285" s="389"/>
      <c r="F285" s="388"/>
      <c r="G285" s="352"/>
    </row>
    <row r="286" spans="1:7" x14ac:dyDescent="0.2">
      <c r="A286" s="352"/>
      <c r="B286" s="352"/>
      <c r="C286" s="352"/>
      <c r="D286" s="587"/>
      <c r="E286" s="389"/>
      <c r="F286" s="388"/>
      <c r="G286" s="352"/>
    </row>
    <row r="287" spans="1:7" x14ac:dyDescent="0.2">
      <c r="A287" s="352"/>
      <c r="B287" s="352"/>
      <c r="C287" s="352"/>
      <c r="D287" s="587"/>
      <c r="E287" s="389"/>
      <c r="F287" s="388"/>
      <c r="G287" s="352"/>
    </row>
    <row r="288" spans="1:7" x14ac:dyDescent="0.2">
      <c r="A288" s="352"/>
      <c r="B288" s="352"/>
      <c r="C288" s="352"/>
      <c r="D288" s="587"/>
      <c r="E288" s="389"/>
      <c r="F288" s="388"/>
      <c r="G288" s="352"/>
    </row>
    <row r="289" spans="1:7" x14ac:dyDescent="0.2">
      <c r="A289" s="352"/>
      <c r="B289" s="352"/>
      <c r="C289" s="352"/>
      <c r="D289" s="587"/>
      <c r="E289" s="389"/>
      <c r="F289" s="388"/>
      <c r="G289" s="352"/>
    </row>
    <row r="290" spans="1:7" x14ac:dyDescent="0.2">
      <c r="A290" s="352"/>
      <c r="B290" s="352"/>
      <c r="C290" s="352"/>
      <c r="D290" s="587"/>
      <c r="E290" s="389"/>
      <c r="F290" s="388"/>
      <c r="G290" s="352"/>
    </row>
    <row r="291" spans="1:7" x14ac:dyDescent="0.2">
      <c r="A291" s="352"/>
      <c r="B291" s="352"/>
      <c r="C291" s="352"/>
      <c r="D291" s="587"/>
      <c r="E291" s="389"/>
      <c r="F291" s="388"/>
      <c r="G291" s="352"/>
    </row>
    <row r="292" spans="1:7" x14ac:dyDescent="0.2">
      <c r="A292" s="352"/>
      <c r="B292" s="352"/>
      <c r="C292" s="352"/>
      <c r="D292" s="587"/>
      <c r="E292" s="389"/>
      <c r="F292" s="388"/>
      <c r="G292" s="352"/>
    </row>
    <row r="293" spans="1:7" x14ac:dyDescent="0.2">
      <c r="A293" s="352"/>
      <c r="B293" s="352"/>
      <c r="C293" s="352"/>
      <c r="D293" s="587"/>
      <c r="E293" s="389"/>
      <c r="F293" s="388"/>
      <c r="G293" s="352"/>
    </row>
    <row r="294" spans="1:7" x14ac:dyDescent="0.2">
      <c r="A294" s="352"/>
      <c r="B294" s="352"/>
      <c r="C294" s="352"/>
      <c r="D294" s="587"/>
      <c r="E294" s="389"/>
      <c r="F294" s="388"/>
      <c r="G294" s="352"/>
    </row>
    <row r="295" spans="1:7" x14ac:dyDescent="0.2">
      <c r="A295" s="352"/>
      <c r="B295" s="352"/>
      <c r="C295" s="352"/>
      <c r="D295" s="587"/>
      <c r="E295" s="389"/>
      <c r="F295" s="388"/>
      <c r="G295" s="352"/>
    </row>
    <row r="296" spans="1:7" x14ac:dyDescent="0.2">
      <c r="A296" s="352"/>
      <c r="B296" s="352"/>
      <c r="C296" s="352"/>
      <c r="D296" s="587"/>
      <c r="E296" s="389"/>
      <c r="F296" s="388"/>
      <c r="G296" s="352"/>
    </row>
    <row r="297" spans="1:7" x14ac:dyDescent="0.2">
      <c r="A297" s="352"/>
      <c r="B297" s="352"/>
      <c r="C297" s="352"/>
      <c r="D297" s="587"/>
      <c r="E297" s="389"/>
      <c r="F297" s="388"/>
      <c r="G297" s="352"/>
    </row>
    <row r="298" spans="1:7" x14ac:dyDescent="0.2">
      <c r="A298" s="352"/>
      <c r="B298" s="352"/>
      <c r="C298" s="352"/>
      <c r="D298" s="587"/>
      <c r="E298" s="389"/>
      <c r="F298" s="388"/>
      <c r="G298" s="352"/>
    </row>
    <row r="299" spans="1:7" x14ac:dyDescent="0.2">
      <c r="A299" s="352"/>
      <c r="B299" s="352"/>
      <c r="C299" s="352"/>
      <c r="D299" s="587"/>
      <c r="E299" s="389"/>
      <c r="F299" s="388"/>
      <c r="G299" s="352"/>
    </row>
    <row r="300" spans="1:7" x14ac:dyDescent="0.2">
      <c r="A300" s="352"/>
      <c r="B300" s="352"/>
      <c r="C300" s="352"/>
      <c r="D300" s="587"/>
      <c r="E300" s="389"/>
      <c r="F300" s="388"/>
      <c r="G300" s="352"/>
    </row>
    <row r="301" spans="1:7" x14ac:dyDescent="0.2">
      <c r="A301" s="352"/>
      <c r="B301" s="352"/>
      <c r="C301" s="352"/>
      <c r="D301" s="587"/>
      <c r="E301" s="389"/>
      <c r="F301" s="388"/>
      <c r="G301" s="352"/>
    </row>
    <row r="302" spans="1:7" x14ac:dyDescent="0.2">
      <c r="A302" s="352"/>
      <c r="B302" s="352"/>
      <c r="C302" s="352"/>
      <c r="D302" s="587"/>
      <c r="E302" s="389"/>
      <c r="F302" s="388"/>
      <c r="G302" s="352"/>
    </row>
    <row r="303" spans="1:7" x14ac:dyDescent="0.2">
      <c r="A303" s="352"/>
      <c r="B303" s="352"/>
      <c r="C303" s="352"/>
      <c r="D303" s="587"/>
      <c r="E303" s="389"/>
      <c r="F303" s="388"/>
      <c r="G303" s="352"/>
    </row>
    <row r="304" spans="1:7" x14ac:dyDescent="0.2">
      <c r="A304" s="352"/>
      <c r="B304" s="352"/>
      <c r="C304" s="352"/>
      <c r="D304" s="587"/>
      <c r="E304" s="389"/>
      <c r="F304" s="388"/>
      <c r="G304" s="352"/>
    </row>
    <row r="305" spans="1:7" x14ac:dyDescent="0.2">
      <c r="A305" s="352"/>
      <c r="B305" s="352"/>
      <c r="C305" s="352"/>
      <c r="D305" s="587"/>
      <c r="E305" s="389"/>
      <c r="F305" s="388"/>
      <c r="G305" s="352"/>
    </row>
    <row r="306" spans="1:7" x14ac:dyDescent="0.2">
      <c r="A306" s="352"/>
      <c r="B306" s="352"/>
      <c r="C306" s="352"/>
      <c r="D306" s="587"/>
      <c r="E306" s="389"/>
      <c r="F306" s="388"/>
      <c r="G306" s="352"/>
    </row>
    <row r="307" spans="1:7" x14ac:dyDescent="0.2">
      <c r="A307" s="352"/>
      <c r="B307" s="352"/>
      <c r="C307" s="352"/>
      <c r="D307" s="587"/>
      <c r="E307" s="389"/>
      <c r="F307" s="388"/>
      <c r="G307" s="352"/>
    </row>
    <row r="308" spans="1:7" x14ac:dyDescent="0.2">
      <c r="A308" s="352"/>
      <c r="B308" s="352"/>
      <c r="C308" s="352"/>
      <c r="D308" s="587"/>
      <c r="E308" s="389"/>
      <c r="F308" s="388"/>
      <c r="G308" s="352"/>
    </row>
  </sheetData>
  <mergeCells count="9">
    <mergeCell ref="B68:C70"/>
    <mergeCell ref="B22:C22"/>
    <mergeCell ref="B4:C6"/>
    <mergeCell ref="A3:F3"/>
    <mergeCell ref="A1:F1"/>
    <mergeCell ref="A2:F2"/>
    <mergeCell ref="A65:F65"/>
    <mergeCell ref="A66:F66"/>
    <mergeCell ref="A67:F67"/>
  </mergeCells>
  <pageMargins left="0.70866141732283472" right="0.23622047244094491" top="0.43307086614173229" bottom="0.27559055118110237" header="0.19685039370078741" footer="0.19685039370078741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85"/>
  <sheetViews>
    <sheetView topLeftCell="A67" zoomScale="115" zoomScaleNormal="115" workbookViewId="0">
      <selection activeCell="A50" sqref="A50"/>
    </sheetView>
  </sheetViews>
  <sheetFormatPr defaultColWidth="9.140625" defaultRowHeight="11.25" customHeight="1" x14ac:dyDescent="0.2"/>
  <cols>
    <col min="1" max="1" width="8.140625" style="214" customWidth="1"/>
    <col min="2" max="2" width="28.140625" style="214" bestFit="1" customWidth="1"/>
    <col min="3" max="3" width="20.5703125" style="215" customWidth="1"/>
    <col min="4" max="4" width="20.85546875" style="215" customWidth="1"/>
    <col min="5" max="5" width="20.28515625" style="214" customWidth="1"/>
    <col min="6" max="6" width="1.140625" style="214" customWidth="1"/>
    <col min="7" max="7" width="7" style="214" bestFit="1" customWidth="1"/>
    <col min="8" max="8" width="1.140625" style="214" customWidth="1"/>
    <col min="9" max="9" width="19.7109375" style="214" customWidth="1"/>
    <col min="10" max="10" width="18.42578125" style="215" customWidth="1"/>
    <col min="11" max="11" width="19.28515625" style="214" customWidth="1"/>
    <col min="12" max="12" width="1.7109375" style="214" customWidth="1"/>
    <col min="13" max="13" width="19.7109375" style="214" customWidth="1"/>
    <col min="14" max="14" width="19.5703125" style="214" customWidth="1"/>
    <col min="15" max="16384" width="9.140625" style="214"/>
  </cols>
  <sheetData>
    <row r="1" spans="1:14" s="116" customFormat="1" ht="17.25" customHeight="1" x14ac:dyDescent="0.2">
      <c r="A1" s="749" t="s">
        <v>557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</row>
    <row r="2" spans="1:14" s="116" customFormat="1" ht="17.25" customHeight="1" x14ac:dyDescent="0.2">
      <c r="A2" s="749" t="str">
        <f>'MBA BS'!A2:E2</f>
        <v>M.B.A PROGRAMME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</row>
    <row r="3" spans="1:14" s="116" customFormat="1" ht="19.5" customHeight="1" thickBot="1" x14ac:dyDescent="0.25">
      <c r="A3" s="749" t="s">
        <v>664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</row>
    <row r="4" spans="1:14" s="116" customFormat="1" ht="15" x14ac:dyDescent="0.2">
      <c r="A4" s="242"/>
      <c r="B4" s="243"/>
      <c r="C4" s="244"/>
      <c r="D4" s="244"/>
      <c r="E4" s="243"/>
      <c r="F4" s="243"/>
      <c r="G4" s="243"/>
      <c r="H4" s="243"/>
      <c r="I4" s="243"/>
      <c r="J4" s="244"/>
      <c r="K4" s="243"/>
      <c r="L4" s="243"/>
      <c r="M4" s="243"/>
      <c r="N4" s="245"/>
    </row>
    <row r="5" spans="1:14" s="116" customFormat="1" ht="15" customHeight="1" x14ac:dyDescent="0.2">
      <c r="A5" s="294" t="s">
        <v>506</v>
      </c>
      <c r="B5" s="807" t="s">
        <v>422</v>
      </c>
      <c r="C5" s="807" t="s">
        <v>507</v>
      </c>
      <c r="D5" s="807"/>
      <c r="E5" s="807"/>
      <c r="F5" s="295"/>
      <c r="G5" s="671" t="s">
        <v>76</v>
      </c>
      <c r="H5" s="295"/>
      <c r="I5" s="807" t="s">
        <v>241</v>
      </c>
      <c r="J5" s="807"/>
      <c r="K5" s="807"/>
      <c r="L5" s="295"/>
      <c r="M5" s="807" t="s">
        <v>29</v>
      </c>
      <c r="N5" s="808"/>
    </row>
    <row r="6" spans="1:14" s="116" customFormat="1" ht="15" customHeight="1" x14ac:dyDescent="0.2">
      <c r="A6" s="294" t="s">
        <v>508</v>
      </c>
      <c r="B6" s="807"/>
      <c r="C6" s="296" t="s">
        <v>509</v>
      </c>
      <c r="D6" s="296" t="s">
        <v>510</v>
      </c>
      <c r="E6" s="671" t="s">
        <v>509</v>
      </c>
      <c r="F6" s="671"/>
      <c r="G6" s="807" t="s">
        <v>119</v>
      </c>
      <c r="H6" s="295"/>
      <c r="I6" s="671" t="s">
        <v>511</v>
      </c>
      <c r="J6" s="296" t="s">
        <v>491</v>
      </c>
      <c r="K6" s="671" t="s">
        <v>509</v>
      </c>
      <c r="L6" s="671"/>
      <c r="M6" s="671" t="s">
        <v>509</v>
      </c>
      <c r="N6" s="672" t="s">
        <v>509</v>
      </c>
    </row>
    <row r="7" spans="1:14" s="116" customFormat="1" ht="15" customHeight="1" x14ac:dyDescent="0.2">
      <c r="A7" s="294"/>
      <c r="B7" s="295"/>
      <c r="C7" s="297" t="s">
        <v>665</v>
      </c>
      <c r="D7" s="296" t="s">
        <v>240</v>
      </c>
      <c r="E7" s="297" t="s">
        <v>660</v>
      </c>
      <c r="F7" s="671"/>
      <c r="G7" s="807"/>
      <c r="H7" s="295"/>
      <c r="I7" s="298" t="str">
        <f>C7</f>
        <v>01.04.2024</v>
      </c>
      <c r="J7" s="296"/>
      <c r="K7" s="298" t="str">
        <f>E7</f>
        <v>31.03.2025</v>
      </c>
      <c r="L7" s="671"/>
      <c r="M7" s="298" t="str">
        <f>I7</f>
        <v>01.04.2024</v>
      </c>
      <c r="N7" s="299" t="str">
        <f>K7</f>
        <v>31.03.2025</v>
      </c>
    </row>
    <row r="8" spans="1:14" s="116" customFormat="1" ht="15" customHeight="1" x14ac:dyDescent="0.2">
      <c r="A8" s="248"/>
      <c r="B8" s="249"/>
      <c r="C8" s="250" t="s">
        <v>512</v>
      </c>
      <c r="D8" s="250" t="s">
        <v>513</v>
      </c>
      <c r="E8" s="251" t="s">
        <v>512</v>
      </c>
      <c r="F8" s="247"/>
      <c r="G8" s="673"/>
      <c r="H8" s="247"/>
      <c r="I8" s="251" t="s">
        <v>512</v>
      </c>
      <c r="J8" s="250" t="s">
        <v>512</v>
      </c>
      <c r="K8" s="251" t="s">
        <v>512</v>
      </c>
      <c r="L8" s="247"/>
      <c r="M8" s="251" t="s">
        <v>512</v>
      </c>
      <c r="N8" s="252" t="s">
        <v>512</v>
      </c>
    </row>
    <row r="9" spans="1:14" s="116" customFormat="1" ht="18" customHeight="1" x14ac:dyDescent="0.2">
      <c r="A9" s="253">
        <v>1</v>
      </c>
      <c r="B9" s="249" t="s">
        <v>535</v>
      </c>
      <c r="C9" s="255">
        <v>41841904</v>
      </c>
      <c r="D9" s="255">
        <v>417270</v>
      </c>
      <c r="E9" s="255">
        <f>SUM(C9:D9)</f>
        <v>42259174</v>
      </c>
      <c r="F9" s="249"/>
      <c r="G9" s="256">
        <v>10</v>
      </c>
      <c r="H9" s="249"/>
      <c r="I9" s="255">
        <v>33894088</v>
      </c>
      <c r="J9" s="255">
        <v>821306</v>
      </c>
      <c r="K9" s="258">
        <f t="shared" ref="K9:K30" si="0">+I9+J9</f>
        <v>34715394</v>
      </c>
      <c r="L9" s="249"/>
      <c r="M9" s="255">
        <f t="shared" ref="M9:M40" si="1">C9-I9</f>
        <v>7947816</v>
      </c>
      <c r="N9" s="259">
        <f t="shared" ref="N9:N40" si="2">M9+D9-J9</f>
        <v>7543780</v>
      </c>
    </row>
    <row r="10" spans="1:14" s="116" customFormat="1" ht="18" customHeight="1" x14ac:dyDescent="0.2">
      <c r="A10" s="253">
        <v>2</v>
      </c>
      <c r="B10" s="249" t="s">
        <v>537</v>
      </c>
      <c r="C10" s="255">
        <v>41433</v>
      </c>
      <c r="D10" s="255">
        <v>0</v>
      </c>
      <c r="E10" s="255">
        <f>SUM(C10:D10)</f>
        <v>41433</v>
      </c>
      <c r="F10" s="249"/>
      <c r="G10" s="256">
        <v>10</v>
      </c>
      <c r="H10" s="249"/>
      <c r="I10" s="260">
        <v>38274</v>
      </c>
      <c r="J10" s="255">
        <f t="shared" ref="J10:J16" si="3">ROUND((M10+D10)*10%,0)</f>
        <v>316</v>
      </c>
      <c r="K10" s="258">
        <f t="shared" si="0"/>
        <v>38590</v>
      </c>
      <c r="L10" s="249"/>
      <c r="M10" s="255">
        <f t="shared" si="1"/>
        <v>3159</v>
      </c>
      <c r="N10" s="259">
        <f t="shared" si="2"/>
        <v>2843</v>
      </c>
    </row>
    <row r="11" spans="1:14" s="116" customFormat="1" ht="18" customHeight="1" x14ac:dyDescent="0.2">
      <c r="A11" s="253">
        <v>3</v>
      </c>
      <c r="B11" s="249" t="s">
        <v>519</v>
      </c>
      <c r="C11" s="257">
        <v>142682</v>
      </c>
      <c r="D11" s="255">
        <v>0</v>
      </c>
      <c r="E11" s="257">
        <f>+C11+D11</f>
        <v>142682</v>
      </c>
      <c r="F11" s="249"/>
      <c r="G11" s="256">
        <v>10</v>
      </c>
      <c r="H11" s="249"/>
      <c r="I11" s="257">
        <v>97232</v>
      </c>
      <c r="J11" s="255">
        <f t="shared" si="3"/>
        <v>4545</v>
      </c>
      <c r="K11" s="258">
        <f t="shared" si="0"/>
        <v>101777</v>
      </c>
      <c r="L11" s="249"/>
      <c r="M11" s="255">
        <f t="shared" si="1"/>
        <v>45450</v>
      </c>
      <c r="N11" s="259">
        <f t="shared" si="2"/>
        <v>40905</v>
      </c>
    </row>
    <row r="12" spans="1:14" s="116" customFormat="1" ht="18" customHeight="1" x14ac:dyDescent="0.2">
      <c r="A12" s="253">
        <v>4</v>
      </c>
      <c r="B12" s="249" t="s">
        <v>536</v>
      </c>
      <c r="C12" s="255">
        <v>13748</v>
      </c>
      <c r="D12" s="255">
        <v>0</v>
      </c>
      <c r="E12" s="255">
        <f>SUM(C12:D12)</f>
        <v>13748</v>
      </c>
      <c r="F12" s="249"/>
      <c r="G12" s="256">
        <v>10</v>
      </c>
      <c r="H12" s="249"/>
      <c r="I12" s="260">
        <v>11789</v>
      </c>
      <c r="J12" s="255">
        <f t="shared" si="3"/>
        <v>196</v>
      </c>
      <c r="K12" s="258">
        <f t="shared" si="0"/>
        <v>11985</v>
      </c>
      <c r="L12" s="249"/>
      <c r="M12" s="255">
        <f t="shared" si="1"/>
        <v>1959</v>
      </c>
      <c r="N12" s="259">
        <f t="shared" si="2"/>
        <v>1763</v>
      </c>
    </row>
    <row r="13" spans="1:14" s="116" customFormat="1" ht="31.5" x14ac:dyDescent="0.2">
      <c r="A13" s="253">
        <v>5</v>
      </c>
      <c r="B13" s="262" t="s">
        <v>538</v>
      </c>
      <c r="C13" s="255">
        <v>3313736</v>
      </c>
      <c r="D13" s="255">
        <v>0</v>
      </c>
      <c r="E13" s="255">
        <f>SUM(C13:D13)</f>
        <v>3313736</v>
      </c>
      <c r="F13" s="249"/>
      <c r="G13" s="256">
        <v>10</v>
      </c>
      <c r="H13" s="249"/>
      <c r="I13" s="260">
        <v>2807725</v>
      </c>
      <c r="J13" s="255">
        <f>ROUND((M13+D13)*10%,0)-1</f>
        <v>50600</v>
      </c>
      <c r="K13" s="258">
        <f t="shared" si="0"/>
        <v>2858325</v>
      </c>
      <c r="L13" s="249"/>
      <c r="M13" s="255">
        <f t="shared" si="1"/>
        <v>506011</v>
      </c>
      <c r="N13" s="259">
        <f t="shared" si="2"/>
        <v>455411</v>
      </c>
    </row>
    <row r="14" spans="1:14" s="123" customFormat="1" ht="18" customHeight="1" x14ac:dyDescent="0.25">
      <c r="A14" s="674"/>
      <c r="B14" s="263" t="s">
        <v>542</v>
      </c>
      <c r="C14" s="264">
        <f>SUM(C9:C13)</f>
        <v>45353503</v>
      </c>
      <c r="D14" s="264">
        <f>SUM(D9:D13)</f>
        <v>417270</v>
      </c>
      <c r="E14" s="265">
        <f>SUM(C14:D14)</f>
        <v>45770773</v>
      </c>
      <c r="F14" s="247"/>
      <c r="G14" s="266"/>
      <c r="H14" s="247"/>
      <c r="I14" s="264">
        <f>SUM(I9,I10,I11,I12,I13)</f>
        <v>36849108</v>
      </c>
      <c r="J14" s="264">
        <f>SUM(J9,J10,J11,J12,J13)</f>
        <v>876963</v>
      </c>
      <c r="K14" s="267">
        <f t="shared" si="0"/>
        <v>37726071</v>
      </c>
      <c r="L14" s="247"/>
      <c r="M14" s="264">
        <f>SUM(M9:M13)</f>
        <v>8504395</v>
      </c>
      <c r="N14" s="688">
        <f>SUM(N9:N13)</f>
        <v>8044702</v>
      </c>
    </row>
    <row r="15" spans="1:14" s="116" customFormat="1" ht="18" customHeight="1" x14ac:dyDescent="0.2">
      <c r="A15" s="253">
        <v>1</v>
      </c>
      <c r="B15" s="249" t="s">
        <v>498</v>
      </c>
      <c r="C15" s="257">
        <v>4472399</v>
      </c>
      <c r="D15" s="255">
        <v>479264</v>
      </c>
      <c r="E15" s="257">
        <f>+C15+D15</f>
        <v>4951663</v>
      </c>
      <c r="F15" s="268"/>
      <c r="G15" s="256">
        <v>10</v>
      </c>
      <c r="H15" s="269"/>
      <c r="I15" s="257">
        <v>2922624</v>
      </c>
      <c r="J15" s="255">
        <v>178941</v>
      </c>
      <c r="K15" s="258">
        <f t="shared" ref="K15:K16" si="4">+I15+J15</f>
        <v>3101565</v>
      </c>
      <c r="L15" s="268"/>
      <c r="M15" s="255">
        <f t="shared" ref="M15:M16" si="5">C15-I15</f>
        <v>1549775</v>
      </c>
      <c r="N15" s="259">
        <f t="shared" ref="N15:N16" si="6">M15+D15-J15</f>
        <v>1850098</v>
      </c>
    </row>
    <row r="16" spans="1:14" s="116" customFormat="1" ht="18" customHeight="1" x14ac:dyDescent="0.2">
      <c r="A16" s="253">
        <v>2</v>
      </c>
      <c r="B16" s="249" t="s">
        <v>529</v>
      </c>
      <c r="C16" s="255">
        <v>40051</v>
      </c>
      <c r="D16" s="255">
        <v>0</v>
      </c>
      <c r="E16" s="255">
        <f>SUM(C16:D16)</f>
        <v>40051</v>
      </c>
      <c r="F16" s="249"/>
      <c r="G16" s="256">
        <v>10</v>
      </c>
      <c r="H16" s="249"/>
      <c r="I16" s="260">
        <v>36886</v>
      </c>
      <c r="J16" s="255">
        <f t="shared" si="3"/>
        <v>317</v>
      </c>
      <c r="K16" s="258">
        <f t="shared" si="4"/>
        <v>37203</v>
      </c>
      <c r="L16" s="249"/>
      <c r="M16" s="255">
        <f t="shared" si="5"/>
        <v>3165</v>
      </c>
      <c r="N16" s="259">
        <f t="shared" si="6"/>
        <v>2848</v>
      </c>
    </row>
    <row r="17" spans="1:14" s="123" customFormat="1" ht="18" customHeight="1" x14ac:dyDescent="0.25">
      <c r="A17" s="674"/>
      <c r="B17" s="263" t="s">
        <v>542</v>
      </c>
      <c r="C17" s="264">
        <f>SUM(C15:C16)</f>
        <v>4512450</v>
      </c>
      <c r="D17" s="264">
        <f>SUM(D15:D16)</f>
        <v>479264</v>
      </c>
      <c r="E17" s="265">
        <f>SUM(C17:D17)</f>
        <v>4991714</v>
      </c>
      <c r="F17" s="247"/>
      <c r="G17" s="266"/>
      <c r="H17" s="247"/>
      <c r="I17" s="264">
        <f>SUM(I15:I16)</f>
        <v>2959510</v>
      </c>
      <c r="J17" s="264">
        <f>SUM(J15:J16)</f>
        <v>179258</v>
      </c>
      <c r="K17" s="267">
        <f t="shared" si="0"/>
        <v>3138768</v>
      </c>
      <c r="L17" s="247"/>
      <c r="M17" s="264">
        <f>SUM(M15:M16)</f>
        <v>1552940</v>
      </c>
      <c r="N17" s="688">
        <f>SUM(N15:N16)</f>
        <v>1852946</v>
      </c>
    </row>
    <row r="18" spans="1:14" s="116" customFormat="1" ht="18" customHeight="1" x14ac:dyDescent="0.2">
      <c r="A18" s="253">
        <v>1</v>
      </c>
      <c r="B18" s="249" t="s">
        <v>514</v>
      </c>
      <c r="C18" s="257">
        <v>4812452</v>
      </c>
      <c r="D18" s="255">
        <v>0</v>
      </c>
      <c r="E18" s="257">
        <f>+C18+D18</f>
        <v>4812452</v>
      </c>
      <c r="F18" s="268"/>
      <c r="G18" s="256">
        <v>15</v>
      </c>
      <c r="H18" s="269"/>
      <c r="I18" s="257">
        <v>2972372</v>
      </c>
      <c r="J18" s="255">
        <f t="shared" ref="J18:J40" si="7">ROUND((M18+D18)*15%,0)</f>
        <v>276012</v>
      </c>
      <c r="K18" s="258">
        <f t="shared" si="0"/>
        <v>3248384</v>
      </c>
      <c r="L18" s="268"/>
      <c r="M18" s="255">
        <f t="shared" si="1"/>
        <v>1840080</v>
      </c>
      <c r="N18" s="259">
        <f t="shared" si="2"/>
        <v>1564068</v>
      </c>
    </row>
    <row r="19" spans="1:14" s="116" customFormat="1" ht="18" customHeight="1" x14ac:dyDescent="0.2">
      <c r="A19" s="253">
        <v>2</v>
      </c>
      <c r="B19" s="249" t="s">
        <v>500</v>
      </c>
      <c r="C19" s="257">
        <v>251196</v>
      </c>
      <c r="D19" s="260">
        <v>9850</v>
      </c>
      <c r="E19" s="257">
        <f>SUM(C19:D19)</f>
        <v>261046</v>
      </c>
      <c r="F19" s="268"/>
      <c r="G19" s="256">
        <v>15</v>
      </c>
      <c r="H19" s="269"/>
      <c r="I19" s="257">
        <v>223600</v>
      </c>
      <c r="J19" s="255">
        <f>ROUND((M19*15%)+(D19*7.5%),)</f>
        <v>4878</v>
      </c>
      <c r="K19" s="258">
        <f>+I19+J19</f>
        <v>228478</v>
      </c>
      <c r="L19" s="268"/>
      <c r="M19" s="255">
        <f t="shared" si="1"/>
        <v>27596</v>
      </c>
      <c r="N19" s="259">
        <f t="shared" si="2"/>
        <v>32568</v>
      </c>
    </row>
    <row r="20" spans="1:14" s="116" customFormat="1" ht="18" customHeight="1" x14ac:dyDescent="0.2">
      <c r="A20" s="253">
        <v>3</v>
      </c>
      <c r="B20" s="249" t="s">
        <v>502</v>
      </c>
      <c r="C20" s="257">
        <v>52780</v>
      </c>
      <c r="D20" s="255">
        <v>0</v>
      </c>
      <c r="E20" s="257">
        <f>SUM(C20:D20)</f>
        <v>52780</v>
      </c>
      <c r="F20" s="268"/>
      <c r="G20" s="256">
        <v>15</v>
      </c>
      <c r="H20" s="269"/>
      <c r="I20" s="257">
        <v>52780</v>
      </c>
      <c r="J20" s="255">
        <f t="shared" si="7"/>
        <v>0</v>
      </c>
      <c r="K20" s="258">
        <f t="shared" si="0"/>
        <v>52780</v>
      </c>
      <c r="L20" s="268"/>
      <c r="M20" s="255">
        <f t="shared" si="1"/>
        <v>0</v>
      </c>
      <c r="N20" s="259">
        <f t="shared" si="2"/>
        <v>0</v>
      </c>
    </row>
    <row r="21" spans="1:14" s="116" customFormat="1" ht="18" customHeight="1" x14ac:dyDescent="0.2">
      <c r="A21" s="253">
        <v>4</v>
      </c>
      <c r="B21" s="249" t="s">
        <v>515</v>
      </c>
      <c r="C21" s="257">
        <v>1663651</v>
      </c>
      <c r="D21" s="255">
        <f>87204</f>
        <v>87204</v>
      </c>
      <c r="E21" s="257">
        <f t="shared" ref="E21:E27" si="8">+C21+D21</f>
        <v>1750855</v>
      </c>
      <c r="F21" s="268"/>
      <c r="G21" s="256">
        <v>15</v>
      </c>
      <c r="H21" s="269" t="s">
        <v>0</v>
      </c>
      <c r="I21" s="257">
        <v>1414227</v>
      </c>
      <c r="J21" s="255">
        <f>ROUND((M21*15%)+(D21*7.5%),)</f>
        <v>43954</v>
      </c>
      <c r="K21" s="258">
        <f t="shared" si="0"/>
        <v>1458181</v>
      </c>
      <c r="L21" s="268"/>
      <c r="M21" s="255">
        <f t="shared" si="1"/>
        <v>249424</v>
      </c>
      <c r="N21" s="259">
        <f t="shared" si="2"/>
        <v>292674</v>
      </c>
    </row>
    <row r="22" spans="1:14" s="116" customFormat="1" ht="18" customHeight="1" x14ac:dyDescent="0.2">
      <c r="A22" s="253">
        <v>5</v>
      </c>
      <c r="B22" s="249" t="s">
        <v>516</v>
      </c>
      <c r="C22" s="257">
        <v>2739316</v>
      </c>
      <c r="D22" s="255">
        <v>0</v>
      </c>
      <c r="E22" s="257">
        <f t="shared" si="8"/>
        <v>2739316</v>
      </c>
      <c r="F22" s="268"/>
      <c r="G22" s="256">
        <v>15</v>
      </c>
      <c r="H22" s="269"/>
      <c r="I22" s="257">
        <v>1639325</v>
      </c>
      <c r="J22" s="255">
        <f t="shared" si="7"/>
        <v>164999</v>
      </c>
      <c r="K22" s="258">
        <f t="shared" si="0"/>
        <v>1804324</v>
      </c>
      <c r="L22" s="268"/>
      <c r="M22" s="255">
        <f t="shared" si="1"/>
        <v>1099991</v>
      </c>
      <c r="N22" s="259">
        <f t="shared" si="2"/>
        <v>934992</v>
      </c>
    </row>
    <row r="23" spans="1:14" s="116" customFormat="1" ht="18" customHeight="1" x14ac:dyDescent="0.2">
      <c r="A23" s="253">
        <v>6</v>
      </c>
      <c r="B23" s="249" t="s">
        <v>517</v>
      </c>
      <c r="C23" s="257">
        <v>46502</v>
      </c>
      <c r="D23" s="255">
        <v>0</v>
      </c>
      <c r="E23" s="257">
        <f t="shared" si="8"/>
        <v>46502</v>
      </c>
      <c r="F23" s="268"/>
      <c r="G23" s="256">
        <v>15</v>
      </c>
      <c r="H23" s="270"/>
      <c r="I23" s="257">
        <v>46502</v>
      </c>
      <c r="J23" s="255">
        <f t="shared" si="7"/>
        <v>0</v>
      </c>
      <c r="K23" s="258">
        <f>+I23+J23</f>
        <v>46502</v>
      </c>
      <c r="L23" s="249"/>
      <c r="M23" s="255">
        <f t="shared" si="1"/>
        <v>0</v>
      </c>
      <c r="N23" s="259">
        <f t="shared" si="2"/>
        <v>0</v>
      </c>
    </row>
    <row r="24" spans="1:14" s="116" customFormat="1" ht="18" customHeight="1" x14ac:dyDescent="0.2">
      <c r="A24" s="253">
        <v>7</v>
      </c>
      <c r="B24" s="249" t="s">
        <v>518</v>
      </c>
      <c r="C24" s="257">
        <v>199617</v>
      </c>
      <c r="D24" s="255">
        <v>0</v>
      </c>
      <c r="E24" s="257">
        <f>SUM(C24:D24)</f>
        <v>199617</v>
      </c>
      <c r="F24" s="268"/>
      <c r="G24" s="256">
        <v>15</v>
      </c>
      <c r="H24" s="270"/>
      <c r="I24" s="257">
        <v>137882</v>
      </c>
      <c r="J24" s="255">
        <f t="shared" si="7"/>
        <v>9260</v>
      </c>
      <c r="K24" s="258">
        <f t="shared" si="0"/>
        <v>147142</v>
      </c>
      <c r="L24" s="268"/>
      <c r="M24" s="255">
        <f t="shared" si="1"/>
        <v>61735</v>
      </c>
      <c r="N24" s="259">
        <f t="shared" si="2"/>
        <v>52475</v>
      </c>
    </row>
    <row r="25" spans="1:14" s="116" customFormat="1" ht="18" customHeight="1" x14ac:dyDescent="0.2">
      <c r="A25" s="253">
        <v>8</v>
      </c>
      <c r="B25" s="249" t="s">
        <v>521</v>
      </c>
      <c r="C25" s="257">
        <v>1600999</v>
      </c>
      <c r="D25" s="255">
        <v>29862</v>
      </c>
      <c r="E25" s="257">
        <f t="shared" si="8"/>
        <v>1630861</v>
      </c>
      <c r="F25" s="249"/>
      <c r="G25" s="256">
        <v>15</v>
      </c>
      <c r="H25" s="249"/>
      <c r="I25" s="255">
        <v>1069179</v>
      </c>
      <c r="J25" s="255">
        <f>ROUND((M25*15%)+(D25*7.5%),)</f>
        <v>82013</v>
      </c>
      <c r="K25" s="258">
        <f t="shared" si="0"/>
        <v>1151192</v>
      </c>
      <c r="L25" s="249"/>
      <c r="M25" s="255">
        <f t="shared" si="1"/>
        <v>531820</v>
      </c>
      <c r="N25" s="259">
        <f t="shared" si="2"/>
        <v>479669</v>
      </c>
    </row>
    <row r="26" spans="1:14" s="116" customFormat="1" ht="18" customHeight="1" x14ac:dyDescent="0.2">
      <c r="A26" s="253">
        <v>9</v>
      </c>
      <c r="B26" s="249" t="s">
        <v>522</v>
      </c>
      <c r="C26" s="257">
        <v>120245</v>
      </c>
      <c r="D26" s="255">
        <v>0</v>
      </c>
      <c r="E26" s="257">
        <f>+C26+D26</f>
        <v>120245</v>
      </c>
      <c r="F26" s="249"/>
      <c r="G26" s="256">
        <v>15</v>
      </c>
      <c r="H26" s="249"/>
      <c r="I26" s="255">
        <v>104267</v>
      </c>
      <c r="J26" s="255">
        <f t="shared" si="7"/>
        <v>2397</v>
      </c>
      <c r="K26" s="258">
        <f>+I26+J26</f>
        <v>106664</v>
      </c>
      <c r="L26" s="249"/>
      <c r="M26" s="255">
        <f t="shared" si="1"/>
        <v>15978</v>
      </c>
      <c r="N26" s="259">
        <f t="shared" si="2"/>
        <v>13581</v>
      </c>
    </row>
    <row r="27" spans="1:14" s="116" customFormat="1" ht="18" customHeight="1" x14ac:dyDescent="0.2">
      <c r="A27" s="253">
        <v>10</v>
      </c>
      <c r="B27" s="249" t="s">
        <v>523</v>
      </c>
      <c r="C27" s="257">
        <v>383791</v>
      </c>
      <c r="D27" s="255">
        <v>0</v>
      </c>
      <c r="E27" s="257">
        <f t="shared" si="8"/>
        <v>383791</v>
      </c>
      <c r="F27" s="249"/>
      <c r="G27" s="256">
        <v>15</v>
      </c>
      <c r="H27" s="249"/>
      <c r="I27" s="255">
        <v>379121</v>
      </c>
      <c r="J27" s="255">
        <f t="shared" si="7"/>
        <v>701</v>
      </c>
      <c r="K27" s="258">
        <f t="shared" si="0"/>
        <v>379822</v>
      </c>
      <c r="L27" s="249"/>
      <c r="M27" s="255">
        <f t="shared" si="1"/>
        <v>4670</v>
      </c>
      <c r="N27" s="259">
        <f t="shared" si="2"/>
        <v>3969</v>
      </c>
    </row>
    <row r="28" spans="1:14" s="116" customFormat="1" ht="18" customHeight="1" x14ac:dyDescent="0.2">
      <c r="A28" s="253">
        <v>11</v>
      </c>
      <c r="B28" s="249" t="s">
        <v>524</v>
      </c>
      <c r="C28" s="255">
        <v>235933</v>
      </c>
      <c r="D28" s="255">
        <v>0</v>
      </c>
      <c r="E28" s="255">
        <f>SUM(C28:D28)</f>
        <v>235933</v>
      </c>
      <c r="F28" s="249"/>
      <c r="G28" s="256">
        <v>15</v>
      </c>
      <c r="H28" s="249"/>
      <c r="I28" s="260">
        <v>201887</v>
      </c>
      <c r="J28" s="255">
        <f t="shared" si="7"/>
        <v>5107</v>
      </c>
      <c r="K28" s="258">
        <f t="shared" si="0"/>
        <v>206994</v>
      </c>
      <c r="L28" s="249"/>
      <c r="M28" s="255">
        <f t="shared" si="1"/>
        <v>34046</v>
      </c>
      <c r="N28" s="259">
        <f t="shared" si="2"/>
        <v>28939</v>
      </c>
    </row>
    <row r="29" spans="1:14" s="116" customFormat="1" ht="18" customHeight="1" x14ac:dyDescent="0.2">
      <c r="A29" s="253">
        <v>12</v>
      </c>
      <c r="B29" s="249" t="s">
        <v>525</v>
      </c>
      <c r="C29" s="255">
        <v>158317</v>
      </c>
      <c r="D29" s="255">
        <v>0</v>
      </c>
      <c r="E29" s="255">
        <f>SUM(C29:D29)</f>
        <v>158317</v>
      </c>
      <c r="F29" s="249"/>
      <c r="G29" s="256">
        <v>15</v>
      </c>
      <c r="H29" s="249"/>
      <c r="I29" s="260">
        <v>112167</v>
      </c>
      <c r="J29" s="255">
        <f t="shared" si="7"/>
        <v>6923</v>
      </c>
      <c r="K29" s="258">
        <f t="shared" si="0"/>
        <v>119090</v>
      </c>
      <c r="L29" s="249"/>
      <c r="M29" s="255">
        <f t="shared" si="1"/>
        <v>46150</v>
      </c>
      <c r="N29" s="259">
        <f t="shared" si="2"/>
        <v>39227</v>
      </c>
    </row>
    <row r="30" spans="1:14" s="116" customFormat="1" ht="18" customHeight="1" x14ac:dyDescent="0.2">
      <c r="A30" s="253">
        <v>13</v>
      </c>
      <c r="B30" s="249" t="s">
        <v>527</v>
      </c>
      <c r="C30" s="255">
        <v>489153</v>
      </c>
      <c r="D30" s="255">
        <v>0</v>
      </c>
      <c r="E30" s="255">
        <f>SUM(C30:D30)</f>
        <v>489153</v>
      </c>
      <c r="F30" s="249"/>
      <c r="G30" s="256">
        <v>15</v>
      </c>
      <c r="H30" s="249"/>
      <c r="I30" s="260">
        <v>479693</v>
      </c>
      <c r="J30" s="255">
        <f t="shared" si="7"/>
        <v>1419</v>
      </c>
      <c r="K30" s="258">
        <f t="shared" si="0"/>
        <v>481112</v>
      </c>
      <c r="L30" s="249"/>
      <c r="M30" s="255">
        <f t="shared" si="1"/>
        <v>9460</v>
      </c>
      <c r="N30" s="259">
        <f t="shared" si="2"/>
        <v>8041</v>
      </c>
    </row>
    <row r="31" spans="1:14" s="116" customFormat="1" ht="18" customHeight="1" x14ac:dyDescent="0.2">
      <c r="A31" s="253">
        <v>14</v>
      </c>
      <c r="B31" s="262" t="s">
        <v>530</v>
      </c>
      <c r="C31" s="273">
        <v>180213</v>
      </c>
      <c r="D31" s="272">
        <v>6300</v>
      </c>
      <c r="E31" s="273">
        <f>+C31+D31</f>
        <v>186513</v>
      </c>
      <c r="F31" s="274"/>
      <c r="G31" s="275">
        <v>15</v>
      </c>
      <c r="H31" s="276"/>
      <c r="I31" s="273">
        <v>172080</v>
      </c>
      <c r="J31" s="255">
        <f>ROUND((M31*15%)+(D31*7.5%),)</f>
        <v>1692</v>
      </c>
      <c r="K31" s="277">
        <f>+I31+J31</f>
        <v>173772</v>
      </c>
      <c r="L31" s="274"/>
      <c r="M31" s="272">
        <f t="shared" si="1"/>
        <v>8133</v>
      </c>
      <c r="N31" s="278">
        <f t="shared" si="2"/>
        <v>12741</v>
      </c>
    </row>
    <row r="32" spans="1:14" s="116" customFormat="1" ht="18" customHeight="1" x14ac:dyDescent="0.2">
      <c r="A32" s="253">
        <v>15</v>
      </c>
      <c r="B32" s="262" t="s">
        <v>531</v>
      </c>
      <c r="C32" s="273">
        <v>22897</v>
      </c>
      <c r="D32" s="255">
        <v>0</v>
      </c>
      <c r="E32" s="273">
        <f>+C32+D32</f>
        <v>22897</v>
      </c>
      <c r="F32" s="262"/>
      <c r="G32" s="275">
        <v>15</v>
      </c>
      <c r="H32" s="262"/>
      <c r="I32" s="279">
        <v>21279</v>
      </c>
      <c r="J32" s="255">
        <f t="shared" si="7"/>
        <v>243</v>
      </c>
      <c r="K32" s="277">
        <f>+I32+J32</f>
        <v>21522</v>
      </c>
      <c r="L32" s="262"/>
      <c r="M32" s="272">
        <f t="shared" si="1"/>
        <v>1618</v>
      </c>
      <c r="N32" s="278">
        <f t="shared" si="2"/>
        <v>1375</v>
      </c>
    </row>
    <row r="33" spans="1:14" s="116" customFormat="1" ht="18" customHeight="1" x14ac:dyDescent="0.2">
      <c r="A33" s="253">
        <v>16</v>
      </c>
      <c r="B33" s="262" t="s">
        <v>532</v>
      </c>
      <c r="C33" s="272">
        <v>260827</v>
      </c>
      <c r="D33" s="255">
        <v>0</v>
      </c>
      <c r="E33" s="272">
        <f t="shared" ref="E33:E40" si="9">SUM(C33:D33)</f>
        <v>260827</v>
      </c>
      <c r="F33" s="262"/>
      <c r="G33" s="275">
        <v>15</v>
      </c>
      <c r="H33" s="262"/>
      <c r="I33" s="279">
        <v>244366</v>
      </c>
      <c r="J33" s="255">
        <f t="shared" si="7"/>
        <v>2469</v>
      </c>
      <c r="K33" s="277">
        <f>I33+J33</f>
        <v>246835</v>
      </c>
      <c r="L33" s="262"/>
      <c r="M33" s="272">
        <f t="shared" si="1"/>
        <v>16461</v>
      </c>
      <c r="N33" s="278">
        <f t="shared" si="2"/>
        <v>13992</v>
      </c>
    </row>
    <row r="34" spans="1:14" s="116" customFormat="1" ht="18" customHeight="1" x14ac:dyDescent="0.2">
      <c r="A34" s="253">
        <v>17</v>
      </c>
      <c r="B34" s="262" t="s">
        <v>533</v>
      </c>
      <c r="C34" s="273">
        <v>232099</v>
      </c>
      <c r="D34" s="255">
        <v>134500</v>
      </c>
      <c r="E34" s="273">
        <f t="shared" si="9"/>
        <v>366599</v>
      </c>
      <c r="F34" s="262"/>
      <c r="G34" s="275">
        <v>15</v>
      </c>
      <c r="H34" s="262"/>
      <c r="I34" s="272">
        <v>156387</v>
      </c>
      <c r="J34" s="255">
        <f>ROUND((M34*15%)+(D34*7.5%),)</f>
        <v>21444</v>
      </c>
      <c r="K34" s="277">
        <f t="shared" ref="K34:K40" si="10">+I34+J34</f>
        <v>177831</v>
      </c>
      <c r="L34" s="262"/>
      <c r="M34" s="272">
        <f t="shared" si="1"/>
        <v>75712</v>
      </c>
      <c r="N34" s="278">
        <f t="shared" si="2"/>
        <v>188768</v>
      </c>
    </row>
    <row r="35" spans="1:14" s="116" customFormat="1" ht="18" customHeight="1" x14ac:dyDescent="0.2">
      <c r="A35" s="253">
        <v>18</v>
      </c>
      <c r="B35" s="262" t="s">
        <v>503</v>
      </c>
      <c r="C35" s="273">
        <v>1092700</v>
      </c>
      <c r="D35" s="255">
        <v>0</v>
      </c>
      <c r="E35" s="273">
        <f t="shared" si="9"/>
        <v>1092700</v>
      </c>
      <c r="F35" s="262"/>
      <c r="G35" s="275">
        <v>15</v>
      </c>
      <c r="H35" s="262"/>
      <c r="I35" s="272">
        <v>829905</v>
      </c>
      <c r="J35" s="255">
        <f t="shared" si="7"/>
        <v>39419</v>
      </c>
      <c r="K35" s="277">
        <f t="shared" si="10"/>
        <v>869324</v>
      </c>
      <c r="L35" s="262"/>
      <c r="M35" s="272">
        <f t="shared" si="1"/>
        <v>262795</v>
      </c>
      <c r="N35" s="278">
        <f t="shared" si="2"/>
        <v>223376</v>
      </c>
    </row>
    <row r="36" spans="1:14" s="116" customFormat="1" ht="29.25" customHeight="1" x14ac:dyDescent="0.2">
      <c r="A36" s="253">
        <v>19</v>
      </c>
      <c r="B36" s="262" t="s">
        <v>539</v>
      </c>
      <c r="C36" s="271">
        <v>86333</v>
      </c>
      <c r="D36" s="255">
        <v>0</v>
      </c>
      <c r="E36" s="272">
        <f t="shared" si="9"/>
        <v>86333</v>
      </c>
      <c r="F36" s="262"/>
      <c r="G36" s="275">
        <v>15</v>
      </c>
      <c r="H36" s="262"/>
      <c r="I36" s="273">
        <v>59261</v>
      </c>
      <c r="J36" s="255">
        <f t="shared" si="7"/>
        <v>4061</v>
      </c>
      <c r="K36" s="277">
        <f t="shared" si="10"/>
        <v>63322</v>
      </c>
      <c r="L36" s="262"/>
      <c r="M36" s="272">
        <f t="shared" si="1"/>
        <v>27072</v>
      </c>
      <c r="N36" s="278">
        <f t="shared" si="2"/>
        <v>23011</v>
      </c>
    </row>
    <row r="37" spans="1:14" s="116" customFormat="1" ht="18" customHeight="1" x14ac:dyDescent="0.2">
      <c r="A37" s="253">
        <v>20</v>
      </c>
      <c r="B37" s="249" t="s">
        <v>540</v>
      </c>
      <c r="C37" s="261">
        <v>25633</v>
      </c>
      <c r="D37" s="255">
        <v>0</v>
      </c>
      <c r="E37" s="255">
        <f t="shared" si="9"/>
        <v>25633</v>
      </c>
      <c r="F37" s="249"/>
      <c r="G37" s="256">
        <v>15</v>
      </c>
      <c r="H37" s="249"/>
      <c r="I37" s="257">
        <v>17597</v>
      </c>
      <c r="J37" s="255">
        <f t="shared" si="7"/>
        <v>1205</v>
      </c>
      <c r="K37" s="258">
        <f t="shared" si="10"/>
        <v>18802</v>
      </c>
      <c r="L37" s="249"/>
      <c r="M37" s="272">
        <f t="shared" si="1"/>
        <v>8036</v>
      </c>
      <c r="N37" s="278">
        <f t="shared" si="2"/>
        <v>6831</v>
      </c>
    </row>
    <row r="38" spans="1:14" s="116" customFormat="1" ht="18" customHeight="1" x14ac:dyDescent="0.2">
      <c r="A38" s="253">
        <v>21</v>
      </c>
      <c r="B38" s="249" t="s">
        <v>541</v>
      </c>
      <c r="C38" s="261">
        <v>22900</v>
      </c>
      <c r="D38" s="255">
        <v>0</v>
      </c>
      <c r="E38" s="255">
        <f t="shared" si="9"/>
        <v>22900</v>
      </c>
      <c r="F38" s="249"/>
      <c r="G38" s="256">
        <v>15</v>
      </c>
      <c r="H38" s="249"/>
      <c r="I38" s="257">
        <v>20215</v>
      </c>
      <c r="J38" s="255">
        <f t="shared" si="7"/>
        <v>403</v>
      </c>
      <c r="K38" s="258">
        <f t="shared" si="10"/>
        <v>20618</v>
      </c>
      <c r="L38" s="249"/>
      <c r="M38" s="272">
        <f t="shared" si="1"/>
        <v>2685</v>
      </c>
      <c r="N38" s="278">
        <f t="shared" si="2"/>
        <v>2282</v>
      </c>
    </row>
    <row r="39" spans="1:14" s="116" customFormat="1" ht="18" customHeight="1" x14ac:dyDescent="0.2">
      <c r="A39" s="253">
        <v>22</v>
      </c>
      <c r="B39" s="249" t="s">
        <v>612</v>
      </c>
      <c r="C39" s="545">
        <v>1168067</v>
      </c>
      <c r="D39" s="255">
        <v>0</v>
      </c>
      <c r="E39" s="255">
        <f t="shared" si="9"/>
        <v>1168067</v>
      </c>
      <c r="F39" s="281"/>
      <c r="G39" s="282">
        <v>15</v>
      </c>
      <c r="H39" s="281"/>
      <c r="I39" s="547">
        <v>790243</v>
      </c>
      <c r="J39" s="255">
        <f t="shared" si="7"/>
        <v>56674</v>
      </c>
      <c r="K39" s="258">
        <f t="shared" si="10"/>
        <v>846917</v>
      </c>
      <c r="L39" s="281"/>
      <c r="M39" s="272">
        <f t="shared" si="1"/>
        <v>377824</v>
      </c>
      <c r="N39" s="278">
        <f t="shared" si="2"/>
        <v>321150</v>
      </c>
    </row>
    <row r="40" spans="1:14" s="116" customFormat="1" ht="18" customHeight="1" x14ac:dyDescent="0.2">
      <c r="A40" s="253">
        <v>23</v>
      </c>
      <c r="B40" s="249" t="s">
        <v>613</v>
      </c>
      <c r="C40" s="545">
        <v>1168067</v>
      </c>
      <c r="D40" s="255">
        <v>0</v>
      </c>
      <c r="E40" s="255">
        <f t="shared" si="9"/>
        <v>1168067</v>
      </c>
      <c r="F40" s="281"/>
      <c r="G40" s="282">
        <v>15</v>
      </c>
      <c r="H40" s="281"/>
      <c r="I40" s="547">
        <v>790243</v>
      </c>
      <c r="J40" s="255">
        <f t="shared" si="7"/>
        <v>56674</v>
      </c>
      <c r="K40" s="258">
        <f t="shared" si="10"/>
        <v>846917</v>
      </c>
      <c r="L40" s="281"/>
      <c r="M40" s="272">
        <f t="shared" si="1"/>
        <v>377824</v>
      </c>
      <c r="N40" s="278">
        <f t="shared" si="2"/>
        <v>321150</v>
      </c>
    </row>
    <row r="41" spans="1:14" s="116" customFormat="1" ht="18" customHeight="1" thickBot="1" x14ac:dyDescent="0.3">
      <c r="A41" s="689"/>
      <c r="B41" s="286" t="s">
        <v>528</v>
      </c>
      <c r="C41" s="690">
        <f>SUM(C18:C40)</f>
        <v>17013688</v>
      </c>
      <c r="D41" s="690">
        <f>SUM(D18:D40)</f>
        <v>267716</v>
      </c>
      <c r="E41" s="690">
        <f>SUM(E18:E40)</f>
        <v>17281404</v>
      </c>
      <c r="F41" s="691"/>
      <c r="G41" s="691"/>
      <c r="H41" s="691"/>
      <c r="I41" s="690">
        <f>SUM(I18:I40)</f>
        <v>11934578</v>
      </c>
      <c r="J41" s="690">
        <f>SUM(J18:J40)</f>
        <v>781947</v>
      </c>
      <c r="K41" s="690">
        <f>SUM(K18:K40)</f>
        <v>12716525</v>
      </c>
      <c r="L41" s="691"/>
      <c r="M41" s="690">
        <f>SUM(M18:M40)</f>
        <v>5079110</v>
      </c>
      <c r="N41" s="692">
        <f>SUM(N18:N40)</f>
        <v>4564879</v>
      </c>
    </row>
    <row r="42" spans="1:14" s="116" customFormat="1" ht="18" customHeight="1" x14ac:dyDescent="0.25">
      <c r="A42" s="288"/>
      <c r="B42" s="290"/>
      <c r="C42" s="293"/>
      <c r="D42" s="293"/>
      <c r="E42" s="293"/>
      <c r="I42" s="293"/>
      <c r="J42" s="293"/>
      <c r="K42" s="293"/>
      <c r="M42" s="809" t="s">
        <v>558</v>
      </c>
      <c r="N42" s="809"/>
    </row>
    <row r="43" spans="1:14" s="116" customFormat="1" ht="18" customHeight="1" x14ac:dyDescent="0.25">
      <c r="A43" s="288"/>
      <c r="B43" s="290"/>
      <c r="C43" s="293"/>
      <c r="D43" s="293"/>
      <c r="E43" s="293"/>
      <c r="I43" s="293"/>
      <c r="J43" s="293"/>
      <c r="K43" s="293"/>
      <c r="M43" s="293"/>
      <c r="N43" s="293"/>
    </row>
    <row r="44" spans="1:14" s="116" customFormat="1" ht="18" customHeight="1" x14ac:dyDescent="0.2">
      <c r="A44" s="749" t="s">
        <v>557</v>
      </c>
      <c r="B44" s="749"/>
      <c r="C44" s="749"/>
      <c r="D44" s="749"/>
      <c r="E44" s="749"/>
      <c r="F44" s="749"/>
      <c r="G44" s="749"/>
      <c r="H44" s="749"/>
      <c r="I44" s="749"/>
      <c r="J44" s="749"/>
      <c r="K44" s="749"/>
      <c r="L44" s="749"/>
      <c r="M44" s="749"/>
      <c r="N44" s="749"/>
    </row>
    <row r="45" spans="1:14" s="116" customFormat="1" ht="18" customHeight="1" x14ac:dyDescent="0.2">
      <c r="A45" s="749" t="str">
        <f>A2</f>
        <v>M.B.A PROGRAMME</v>
      </c>
      <c r="B45" s="749"/>
      <c r="C45" s="749"/>
      <c r="D45" s="749"/>
      <c r="E45" s="749"/>
      <c r="F45" s="749"/>
      <c r="G45" s="749"/>
      <c r="H45" s="749"/>
      <c r="I45" s="749"/>
      <c r="J45" s="749"/>
      <c r="K45" s="749"/>
      <c r="L45" s="749"/>
      <c r="M45" s="749"/>
      <c r="N45" s="749"/>
    </row>
    <row r="46" spans="1:14" s="116" customFormat="1" ht="18" customHeight="1" thickBot="1" x14ac:dyDescent="0.25">
      <c r="A46" s="749" t="s">
        <v>664</v>
      </c>
      <c r="B46" s="749"/>
      <c r="C46" s="749"/>
      <c r="D46" s="749"/>
      <c r="E46" s="749"/>
      <c r="F46" s="749"/>
      <c r="G46" s="749"/>
      <c r="H46" s="749"/>
      <c r="I46" s="749"/>
      <c r="J46" s="749"/>
      <c r="K46" s="749"/>
      <c r="L46" s="749"/>
      <c r="M46" s="749"/>
      <c r="N46" s="749"/>
    </row>
    <row r="47" spans="1:14" s="116" customFormat="1" ht="18" customHeight="1" x14ac:dyDescent="0.2">
      <c r="A47" s="693"/>
      <c r="B47" s="694"/>
      <c r="C47" s="694"/>
      <c r="D47" s="694"/>
      <c r="E47" s="694"/>
      <c r="F47" s="694"/>
      <c r="G47" s="694"/>
      <c r="H47" s="694"/>
      <c r="I47" s="694"/>
      <c r="J47" s="694"/>
      <c r="K47" s="694"/>
      <c r="L47" s="694"/>
      <c r="M47" s="694"/>
      <c r="N47" s="695"/>
    </row>
    <row r="48" spans="1:14" s="116" customFormat="1" ht="15" customHeight="1" x14ac:dyDescent="0.2">
      <c r="A48" s="294" t="s">
        <v>506</v>
      </c>
      <c r="B48" s="807" t="s">
        <v>422</v>
      </c>
      <c r="C48" s="807" t="s">
        <v>507</v>
      </c>
      <c r="D48" s="807"/>
      <c r="E48" s="807"/>
      <c r="F48" s="295"/>
      <c r="G48" s="671" t="s">
        <v>76</v>
      </c>
      <c r="H48" s="295"/>
      <c r="I48" s="807" t="s">
        <v>241</v>
      </c>
      <c r="J48" s="807"/>
      <c r="K48" s="807"/>
      <c r="L48" s="295"/>
      <c r="M48" s="807" t="s">
        <v>29</v>
      </c>
      <c r="N48" s="808"/>
    </row>
    <row r="49" spans="1:14" s="116" customFormat="1" ht="15" customHeight="1" x14ac:dyDescent="0.2">
      <c r="A49" s="294" t="s">
        <v>508</v>
      </c>
      <c r="B49" s="807"/>
      <c r="C49" s="296" t="s">
        <v>509</v>
      </c>
      <c r="D49" s="296" t="s">
        <v>510</v>
      </c>
      <c r="E49" s="671" t="s">
        <v>509</v>
      </c>
      <c r="F49" s="671"/>
      <c r="G49" s="807" t="s">
        <v>119</v>
      </c>
      <c r="H49" s="295"/>
      <c r="I49" s="671" t="s">
        <v>511</v>
      </c>
      <c r="J49" s="296" t="s">
        <v>491</v>
      </c>
      <c r="K49" s="671" t="s">
        <v>509</v>
      </c>
      <c r="L49" s="671"/>
      <c r="M49" s="671" t="s">
        <v>509</v>
      </c>
      <c r="N49" s="672" t="s">
        <v>509</v>
      </c>
    </row>
    <row r="50" spans="1:14" s="116" customFormat="1" ht="15" customHeight="1" x14ac:dyDescent="0.2">
      <c r="A50" s="294"/>
      <c r="B50" s="295"/>
      <c r="C50" s="300" t="str">
        <f>C7</f>
        <v>01.04.2024</v>
      </c>
      <c r="D50" s="296" t="s">
        <v>240</v>
      </c>
      <c r="E50" s="298" t="str">
        <f>K50</f>
        <v>31.03.2025</v>
      </c>
      <c r="F50" s="671"/>
      <c r="G50" s="807"/>
      <c r="H50" s="295"/>
      <c r="I50" s="298" t="str">
        <f>M50</f>
        <v>01.04.2024</v>
      </c>
      <c r="J50" s="296"/>
      <c r="K50" s="298" t="str">
        <f>N50</f>
        <v>31.03.2025</v>
      </c>
      <c r="L50" s="671"/>
      <c r="M50" s="298" t="str">
        <f>M7</f>
        <v>01.04.2024</v>
      </c>
      <c r="N50" s="299" t="str">
        <f>N7</f>
        <v>31.03.2025</v>
      </c>
    </row>
    <row r="51" spans="1:14" s="116" customFormat="1" ht="15" customHeight="1" x14ac:dyDescent="0.2">
      <c r="A51" s="248"/>
      <c r="B51" s="249"/>
      <c r="C51" s="257" t="s">
        <v>512</v>
      </c>
      <c r="D51" s="257" t="s">
        <v>513</v>
      </c>
      <c r="E51" s="284" t="s">
        <v>512</v>
      </c>
      <c r="F51" s="249"/>
      <c r="G51" s="270"/>
      <c r="H51" s="249"/>
      <c r="I51" s="284" t="s">
        <v>512</v>
      </c>
      <c r="J51" s="257" t="s">
        <v>512</v>
      </c>
      <c r="K51" s="284" t="s">
        <v>512</v>
      </c>
      <c r="L51" s="249"/>
      <c r="M51" s="284" t="s">
        <v>512</v>
      </c>
      <c r="N51" s="720" t="s">
        <v>512</v>
      </c>
    </row>
    <row r="52" spans="1:14" s="116" customFormat="1" ht="18" customHeight="1" x14ac:dyDescent="0.2">
      <c r="A52" s="253"/>
      <c r="B52" s="673" t="s">
        <v>504</v>
      </c>
      <c r="C52" s="291">
        <f>C41</f>
        <v>17013688</v>
      </c>
      <c r="D52" s="291">
        <f>D41</f>
        <v>267716</v>
      </c>
      <c r="E52" s="291">
        <f>E41</f>
        <v>17281404</v>
      </c>
      <c r="F52" s="281"/>
      <c r="G52" s="282"/>
      <c r="H52" s="281"/>
      <c r="I52" s="291">
        <f>I41</f>
        <v>11934578</v>
      </c>
      <c r="J52" s="291">
        <f>J41</f>
        <v>781947</v>
      </c>
      <c r="K52" s="291">
        <f>K41</f>
        <v>12716525</v>
      </c>
      <c r="L52" s="281"/>
      <c r="M52" s="291">
        <f>M41</f>
        <v>5079110</v>
      </c>
      <c r="N52" s="696">
        <f>N41</f>
        <v>4564879</v>
      </c>
    </row>
    <row r="53" spans="1:14" s="116" customFormat="1" ht="18" customHeight="1" x14ac:dyDescent="0.2">
      <c r="A53" s="253">
        <v>24</v>
      </c>
      <c r="B53" s="249" t="s">
        <v>623</v>
      </c>
      <c r="C53" s="545">
        <v>256611</v>
      </c>
      <c r="D53" s="546">
        <v>18400</v>
      </c>
      <c r="E53" s="546">
        <f>C53+D53</f>
        <v>275011</v>
      </c>
      <c r="F53" s="281"/>
      <c r="G53" s="282">
        <v>15</v>
      </c>
      <c r="H53" s="281"/>
      <c r="I53" s="547">
        <v>102107</v>
      </c>
      <c r="J53" s="255">
        <v>24556</v>
      </c>
      <c r="K53" s="590">
        <f>I53+J53</f>
        <v>126663</v>
      </c>
      <c r="L53" s="281"/>
      <c r="M53" s="272">
        <f t="shared" ref="M53:M55" si="11">C53-I53</f>
        <v>154504</v>
      </c>
      <c r="N53" s="278">
        <f t="shared" ref="N53:N55" si="12">M53+D53-J53</f>
        <v>148348</v>
      </c>
    </row>
    <row r="54" spans="1:14" s="116" customFormat="1" ht="18" customHeight="1" x14ac:dyDescent="0.2">
      <c r="A54" s="253">
        <v>25</v>
      </c>
      <c r="B54" s="249" t="s">
        <v>635</v>
      </c>
      <c r="C54" s="545">
        <v>730000</v>
      </c>
      <c r="D54" s="255">
        <v>0</v>
      </c>
      <c r="E54" s="546">
        <f t="shared" ref="E54:E58" si="13">C54+D54</f>
        <v>730000</v>
      </c>
      <c r="F54" s="281"/>
      <c r="G54" s="282">
        <v>15</v>
      </c>
      <c r="H54" s="281"/>
      <c r="I54" s="547">
        <v>406096</v>
      </c>
      <c r="J54" s="255">
        <f t="shared" ref="J54:J58" si="14">ROUND((M54+D54)*15%,0)</f>
        <v>48586</v>
      </c>
      <c r="K54" s="590">
        <f>I54+J54</f>
        <v>454682</v>
      </c>
      <c r="L54" s="281"/>
      <c r="M54" s="272">
        <f t="shared" si="11"/>
        <v>323904</v>
      </c>
      <c r="N54" s="278">
        <f t="shared" si="12"/>
        <v>275318</v>
      </c>
    </row>
    <row r="55" spans="1:14" s="116" customFormat="1" ht="18" customHeight="1" x14ac:dyDescent="0.2">
      <c r="A55" s="253">
        <v>26</v>
      </c>
      <c r="B55" s="249" t="s">
        <v>638</v>
      </c>
      <c r="C55" s="545">
        <v>563554.26</v>
      </c>
      <c r="D55" s="255">
        <v>0</v>
      </c>
      <c r="E55" s="546">
        <f t="shared" si="13"/>
        <v>563554.26</v>
      </c>
      <c r="F55" s="281"/>
      <c r="G55" s="282">
        <v>15</v>
      </c>
      <c r="H55" s="281"/>
      <c r="I55" s="547">
        <v>217461</v>
      </c>
      <c r="J55" s="255">
        <f t="shared" si="14"/>
        <v>51914</v>
      </c>
      <c r="K55" s="590">
        <f>I55+J55</f>
        <v>269375</v>
      </c>
      <c r="L55" s="281"/>
      <c r="M55" s="272">
        <f t="shared" si="11"/>
        <v>346093.26</v>
      </c>
      <c r="N55" s="278">
        <f t="shared" si="12"/>
        <v>294179.26</v>
      </c>
    </row>
    <row r="56" spans="1:14" s="116" customFormat="1" ht="18" customHeight="1" x14ac:dyDescent="0.2">
      <c r="A56" s="253">
        <v>27</v>
      </c>
      <c r="B56" s="249" t="s">
        <v>639</v>
      </c>
      <c r="C56" s="545">
        <v>270456</v>
      </c>
      <c r="D56" s="255">
        <v>0</v>
      </c>
      <c r="E56" s="546">
        <f t="shared" si="13"/>
        <v>270456</v>
      </c>
      <c r="F56" s="281"/>
      <c r="G56" s="282">
        <v>15</v>
      </c>
      <c r="H56" s="281"/>
      <c r="I56" s="547">
        <v>104362</v>
      </c>
      <c r="J56" s="255">
        <f t="shared" si="14"/>
        <v>24914</v>
      </c>
      <c r="K56" s="590">
        <f t="shared" ref="K56:K57" si="15">I56+J56</f>
        <v>129276</v>
      </c>
      <c r="L56" s="281"/>
      <c r="M56" s="272">
        <f t="shared" ref="M56:M57" si="16">C56-I56</f>
        <v>166094</v>
      </c>
      <c r="N56" s="278">
        <f t="shared" ref="N56:N57" si="17">M56+D56-J56</f>
        <v>141180</v>
      </c>
    </row>
    <row r="57" spans="1:14" s="116" customFormat="1" ht="18" customHeight="1" x14ac:dyDescent="0.2">
      <c r="A57" s="253">
        <v>28</v>
      </c>
      <c r="B57" s="249" t="s">
        <v>640</v>
      </c>
      <c r="C57" s="545">
        <v>901358.63</v>
      </c>
      <c r="D57" s="255">
        <v>0</v>
      </c>
      <c r="E57" s="546">
        <f t="shared" si="13"/>
        <v>901358.63</v>
      </c>
      <c r="F57" s="281"/>
      <c r="G57" s="282">
        <v>15</v>
      </c>
      <c r="H57" s="281"/>
      <c r="I57" s="547">
        <v>347812</v>
      </c>
      <c r="J57" s="255">
        <f t="shared" si="14"/>
        <v>83032</v>
      </c>
      <c r="K57" s="590">
        <f t="shared" si="15"/>
        <v>430844</v>
      </c>
      <c r="L57" s="281"/>
      <c r="M57" s="272">
        <f t="shared" si="16"/>
        <v>553546.63</v>
      </c>
      <c r="N57" s="278">
        <f t="shared" si="17"/>
        <v>470514.63</v>
      </c>
    </row>
    <row r="58" spans="1:14" s="116" customFormat="1" ht="18" customHeight="1" x14ac:dyDescent="0.2">
      <c r="A58" s="253">
        <v>29</v>
      </c>
      <c r="B58" s="249" t="s">
        <v>641</v>
      </c>
      <c r="C58" s="545">
        <v>2299000</v>
      </c>
      <c r="D58" s="255">
        <v>0</v>
      </c>
      <c r="E58" s="546">
        <f t="shared" si="13"/>
        <v>2299000</v>
      </c>
      <c r="F58" s="281"/>
      <c r="G58" s="282">
        <v>15</v>
      </c>
      <c r="H58" s="281"/>
      <c r="I58" s="547">
        <v>762549</v>
      </c>
      <c r="J58" s="255">
        <f t="shared" si="14"/>
        <v>230468</v>
      </c>
      <c r="K58" s="590">
        <f t="shared" ref="K58" si="18">I58+J58</f>
        <v>993017</v>
      </c>
      <c r="L58" s="281"/>
      <c r="M58" s="272">
        <f t="shared" ref="M58" si="19">C58-I58</f>
        <v>1536451</v>
      </c>
      <c r="N58" s="278">
        <f t="shared" ref="N58" si="20">M58+D58-J58</f>
        <v>1305983</v>
      </c>
    </row>
    <row r="59" spans="1:14" s="116" customFormat="1" ht="18" customHeight="1" x14ac:dyDescent="0.2">
      <c r="A59" s="253"/>
      <c r="B59" s="263" t="s">
        <v>542</v>
      </c>
      <c r="C59" s="291">
        <f>SUM(C52:C58)</f>
        <v>22034667.890000001</v>
      </c>
      <c r="D59" s="291">
        <f>SUM(D52:D58)</f>
        <v>286116</v>
      </c>
      <c r="E59" s="291">
        <f>SUM(E52:E58)</f>
        <v>22320783.890000001</v>
      </c>
      <c r="F59" s="281"/>
      <c r="G59" s="282"/>
      <c r="H59" s="281"/>
      <c r="I59" s="291">
        <f>SUM(I52:I58)</f>
        <v>13874965</v>
      </c>
      <c r="J59" s="291">
        <f>SUM(J52:J58)</f>
        <v>1245417</v>
      </c>
      <c r="K59" s="291">
        <f>SUM(K52:K58)</f>
        <v>15120382</v>
      </c>
      <c r="L59" s="281"/>
      <c r="M59" s="291">
        <f>SUM(M52:M58)</f>
        <v>8159702.8899999997</v>
      </c>
      <c r="N59" s="696">
        <f>SUM(N52:N58)</f>
        <v>7200401.8899999997</v>
      </c>
    </row>
    <row r="60" spans="1:14" s="116" customFormat="1" ht="18" customHeight="1" x14ac:dyDescent="0.2">
      <c r="A60" s="253">
        <v>1</v>
      </c>
      <c r="B60" s="262" t="s">
        <v>689</v>
      </c>
      <c r="C60" s="272">
        <v>334600</v>
      </c>
      <c r="D60" s="255">
        <v>0</v>
      </c>
      <c r="E60" s="272">
        <f t="shared" ref="E60" si="21">SUM(C60:D60)</f>
        <v>334600</v>
      </c>
      <c r="F60" s="262"/>
      <c r="G60" s="275">
        <v>15</v>
      </c>
      <c r="H60" s="262"/>
      <c r="I60" s="279">
        <v>330905</v>
      </c>
      <c r="J60" s="255">
        <f t="shared" ref="J60:J61" si="22">ROUND((M60+D60)*15%,0)</f>
        <v>554</v>
      </c>
      <c r="K60" s="277">
        <f t="shared" ref="K60" si="23">+I60+J60</f>
        <v>331459</v>
      </c>
      <c r="L60" s="262"/>
      <c r="M60" s="272">
        <f t="shared" ref="M60:M61" si="24">C60-I60</f>
        <v>3695</v>
      </c>
      <c r="N60" s="278">
        <f t="shared" ref="N60:N61" si="25">M60+D60-J60</f>
        <v>3141</v>
      </c>
    </row>
    <row r="61" spans="1:14" s="116" customFormat="1" ht="18" customHeight="1" x14ac:dyDescent="0.2">
      <c r="A61" s="253">
        <v>2</v>
      </c>
      <c r="B61" s="249" t="s">
        <v>669</v>
      </c>
      <c r="C61" s="545">
        <v>0</v>
      </c>
      <c r="D61" s="546">
        <v>239559</v>
      </c>
      <c r="E61" s="546">
        <f t="shared" ref="E61" si="26">C61+D61</f>
        <v>239559</v>
      </c>
      <c r="F61" s="281"/>
      <c r="G61" s="282">
        <v>15</v>
      </c>
      <c r="H61" s="281"/>
      <c r="I61" s="255">
        <v>0</v>
      </c>
      <c r="J61" s="255">
        <f t="shared" si="22"/>
        <v>35934</v>
      </c>
      <c r="K61" s="590">
        <f t="shared" ref="K61" si="27">I61+J61</f>
        <v>35934</v>
      </c>
      <c r="L61" s="281"/>
      <c r="M61" s="255">
        <f t="shared" si="24"/>
        <v>0</v>
      </c>
      <c r="N61" s="278">
        <f t="shared" si="25"/>
        <v>203625</v>
      </c>
    </row>
    <row r="62" spans="1:14" s="116" customFormat="1" ht="18" customHeight="1" x14ac:dyDescent="0.2">
      <c r="A62" s="253"/>
      <c r="B62" s="263" t="s">
        <v>542</v>
      </c>
      <c r="C62" s="291">
        <f>SUM(C60:C61)</f>
        <v>334600</v>
      </c>
      <c r="D62" s="291">
        <f>SUM(D60:D61)</f>
        <v>239559</v>
      </c>
      <c r="E62" s="291">
        <f>SUM(E60:E61)</f>
        <v>574159</v>
      </c>
      <c r="F62" s="281"/>
      <c r="G62" s="282"/>
      <c r="H62" s="281"/>
      <c r="I62" s="291">
        <f>SUM(I60:I61)</f>
        <v>330905</v>
      </c>
      <c r="J62" s="291">
        <f>SUM(J60:J61)</f>
        <v>36488</v>
      </c>
      <c r="K62" s="291">
        <f>SUM(K60:K61)</f>
        <v>367393</v>
      </c>
      <c r="L62" s="281"/>
      <c r="M62" s="291">
        <f>SUM(M60:M61)</f>
        <v>3695</v>
      </c>
      <c r="N62" s="696">
        <f>SUM(N60:N61)</f>
        <v>206766</v>
      </c>
    </row>
    <row r="63" spans="1:14" s="116" customFormat="1" ht="18" customHeight="1" x14ac:dyDescent="0.2">
      <c r="A63" s="253">
        <v>1</v>
      </c>
      <c r="B63" s="249" t="s">
        <v>505</v>
      </c>
      <c r="C63" s="261">
        <v>14295028</v>
      </c>
      <c r="D63" s="255">
        <v>137710</v>
      </c>
      <c r="E63" s="257">
        <f>+C63+D63</f>
        <v>14432738</v>
      </c>
      <c r="F63" s="268"/>
      <c r="G63" s="285" t="s">
        <v>634</v>
      </c>
      <c r="H63" s="269"/>
      <c r="I63" s="257">
        <v>13579131</v>
      </c>
      <c r="J63" s="255">
        <v>330893</v>
      </c>
      <c r="K63" s="258">
        <f>+I63+J63</f>
        <v>13910024</v>
      </c>
      <c r="L63" s="268"/>
      <c r="M63" s="255">
        <f>C63-I63</f>
        <v>715897</v>
      </c>
      <c r="N63" s="259">
        <f>M63+D63-J63</f>
        <v>522714</v>
      </c>
    </row>
    <row r="64" spans="1:14" s="116" customFormat="1" ht="18" customHeight="1" x14ac:dyDescent="0.2">
      <c r="A64" s="253">
        <v>2</v>
      </c>
      <c r="B64" s="249" t="s">
        <v>647</v>
      </c>
      <c r="C64" s="261">
        <v>190514</v>
      </c>
      <c r="D64" s="255">
        <v>13500</v>
      </c>
      <c r="E64" s="257">
        <f>+C64+D64</f>
        <v>204014</v>
      </c>
      <c r="F64" s="268"/>
      <c r="G64" s="285" t="s">
        <v>634</v>
      </c>
      <c r="H64" s="269"/>
      <c r="I64" s="257">
        <v>82638</v>
      </c>
      <c r="J64" s="255">
        <f t="shared" ref="J64" si="28">ROUND((M64+D64)*40%,0)</f>
        <v>48550</v>
      </c>
      <c r="K64" s="258">
        <f>+I64+J64</f>
        <v>131188</v>
      </c>
      <c r="L64" s="268"/>
      <c r="M64" s="255">
        <f>C64-I64</f>
        <v>107876</v>
      </c>
      <c r="N64" s="259">
        <f>M64+D64-J64</f>
        <v>72826</v>
      </c>
    </row>
    <row r="65" spans="1:14" s="116" customFormat="1" ht="18" customHeight="1" x14ac:dyDescent="0.2">
      <c r="A65" s="253">
        <v>3</v>
      </c>
      <c r="B65" s="249" t="s">
        <v>633</v>
      </c>
      <c r="C65" s="261">
        <v>336900</v>
      </c>
      <c r="D65" s="255">
        <v>59750</v>
      </c>
      <c r="E65" s="257">
        <f>+C65+D65</f>
        <v>396650</v>
      </c>
      <c r="F65" s="249"/>
      <c r="G65" s="285" t="s">
        <v>634</v>
      </c>
      <c r="H65" s="249"/>
      <c r="I65" s="260">
        <v>240190</v>
      </c>
      <c r="J65" s="255">
        <v>52984</v>
      </c>
      <c r="K65" s="258">
        <f>+I65+J65</f>
        <v>293174</v>
      </c>
      <c r="L65" s="249"/>
      <c r="M65" s="255">
        <f>C65-I65</f>
        <v>96710</v>
      </c>
      <c r="N65" s="259">
        <f>M65+D65-J65</f>
        <v>103476</v>
      </c>
    </row>
    <row r="66" spans="1:14" s="116" customFormat="1" ht="18" customHeight="1" x14ac:dyDescent="0.2">
      <c r="A66" s="253">
        <v>4</v>
      </c>
      <c r="B66" s="249" t="s">
        <v>534</v>
      </c>
      <c r="C66" s="261">
        <v>632520</v>
      </c>
      <c r="D66" s="255">
        <v>0</v>
      </c>
      <c r="E66" s="257">
        <f>SUM(C66:D66)</f>
        <v>632520</v>
      </c>
      <c r="F66" s="249"/>
      <c r="G66" s="285" t="s">
        <v>634</v>
      </c>
      <c r="H66" s="249"/>
      <c r="I66" s="255">
        <v>595657</v>
      </c>
      <c r="J66" s="255">
        <f>ROUND((M66+D66)*40%,0)</f>
        <v>14745</v>
      </c>
      <c r="K66" s="258">
        <f>+I66+J66</f>
        <v>610402</v>
      </c>
      <c r="L66" s="249"/>
      <c r="M66" s="255">
        <f>C66-I66</f>
        <v>36863</v>
      </c>
      <c r="N66" s="259">
        <f>M66+D66-J66</f>
        <v>22118</v>
      </c>
    </row>
    <row r="67" spans="1:14" s="116" customFormat="1" ht="18" customHeight="1" x14ac:dyDescent="0.2">
      <c r="A67" s="253">
        <v>5</v>
      </c>
      <c r="B67" s="249" t="s">
        <v>649</v>
      </c>
      <c r="C67" s="545">
        <v>280042</v>
      </c>
      <c r="D67" s="628">
        <v>0</v>
      </c>
      <c r="E67" s="257">
        <f>SUM(C67:D67)</f>
        <v>280042</v>
      </c>
      <c r="F67" s="281"/>
      <c r="G67" s="629" t="s">
        <v>670</v>
      </c>
      <c r="H67" s="281"/>
      <c r="I67" s="255">
        <v>112017</v>
      </c>
      <c r="J67" s="255">
        <f>ROUND((M67+D67)*25%,0)</f>
        <v>42006</v>
      </c>
      <c r="K67" s="258">
        <f>+I67+J67</f>
        <v>154023</v>
      </c>
      <c r="L67" s="281"/>
      <c r="M67" s="255">
        <f>C67-I67</f>
        <v>168025</v>
      </c>
      <c r="N67" s="259">
        <f>M67+D67-J67</f>
        <v>126019</v>
      </c>
    </row>
    <row r="68" spans="1:14" s="116" customFormat="1" ht="18" customHeight="1" x14ac:dyDescent="0.2">
      <c r="A68" s="253"/>
      <c r="B68" s="263" t="s">
        <v>542</v>
      </c>
      <c r="C68" s="291">
        <f>SUM(C63:C67)</f>
        <v>15735004</v>
      </c>
      <c r="D68" s="291">
        <f t="shared" ref="D68:E68" si="29">SUM(D63:D67)</f>
        <v>210960</v>
      </c>
      <c r="E68" s="291">
        <f t="shared" si="29"/>
        <v>15945964</v>
      </c>
      <c r="F68" s="281"/>
      <c r="G68" s="282"/>
      <c r="H68" s="281"/>
      <c r="I68" s="291">
        <f t="shared" ref="I68:K68" si="30">SUM(I63:I67)</f>
        <v>14609633</v>
      </c>
      <c r="J68" s="291">
        <f t="shared" si="30"/>
        <v>489178</v>
      </c>
      <c r="K68" s="291">
        <f t="shared" si="30"/>
        <v>15098811</v>
      </c>
      <c r="L68" s="281"/>
      <c r="M68" s="291">
        <f t="shared" ref="M68:N68" si="31">SUM(M63:M67)</f>
        <v>1125371</v>
      </c>
      <c r="N68" s="696">
        <f t="shared" si="31"/>
        <v>847153</v>
      </c>
    </row>
    <row r="69" spans="1:14" s="116" customFormat="1" ht="18" customHeight="1" x14ac:dyDescent="0.2">
      <c r="A69" s="253">
        <v>1</v>
      </c>
      <c r="B69" s="249" t="s">
        <v>501</v>
      </c>
      <c r="C69" s="261">
        <v>5222518</v>
      </c>
      <c r="D69" s="255">
        <v>0</v>
      </c>
      <c r="E69" s="257">
        <f>SUM(C69:D69)</f>
        <v>5222518</v>
      </c>
      <c r="F69" s="268"/>
      <c r="G69" s="285" t="s">
        <v>634</v>
      </c>
      <c r="H69" s="269"/>
      <c r="I69" s="257">
        <v>4874357</v>
      </c>
      <c r="J69" s="255">
        <f>ROUND((M69+D69)*40%,0)</f>
        <v>139264</v>
      </c>
      <c r="K69" s="257">
        <f>SUM(I69:J69)</f>
        <v>5013621</v>
      </c>
      <c r="L69" s="268"/>
      <c r="M69" s="255">
        <f>C69-I69</f>
        <v>348161</v>
      </c>
      <c r="N69" s="259">
        <f>M69+D69-J69</f>
        <v>208897</v>
      </c>
    </row>
    <row r="70" spans="1:14" s="116" customFormat="1" ht="18" customHeight="1" x14ac:dyDescent="0.2">
      <c r="A70" s="253"/>
      <c r="B70" s="263" t="s">
        <v>542</v>
      </c>
      <c r="C70" s="291">
        <f>C69</f>
        <v>5222518</v>
      </c>
      <c r="D70" s="291">
        <f t="shared" ref="D70:E70" si="32">SUM(D69)</f>
        <v>0</v>
      </c>
      <c r="E70" s="291">
        <f t="shared" si="32"/>
        <v>5222518</v>
      </c>
      <c r="F70" s="281"/>
      <c r="G70" s="282"/>
      <c r="H70" s="281"/>
      <c r="I70" s="291">
        <f>SUM(I69)</f>
        <v>4874357</v>
      </c>
      <c r="J70" s="291">
        <f t="shared" ref="J70:N70" si="33">SUM(J69)</f>
        <v>139264</v>
      </c>
      <c r="K70" s="291">
        <f t="shared" si="33"/>
        <v>5013621</v>
      </c>
      <c r="L70" s="281"/>
      <c r="M70" s="291">
        <f t="shared" si="33"/>
        <v>348161</v>
      </c>
      <c r="N70" s="696">
        <f t="shared" si="33"/>
        <v>208897</v>
      </c>
    </row>
    <row r="71" spans="1:14" s="116" customFormat="1" ht="18" customHeight="1" x14ac:dyDescent="0.2">
      <c r="A71" s="253"/>
      <c r="B71" s="292"/>
      <c r="C71" s="291"/>
      <c r="D71" s="291"/>
      <c r="E71" s="291"/>
      <c r="F71" s="281"/>
      <c r="G71" s="282"/>
      <c r="H71" s="281"/>
      <c r="I71" s="291"/>
      <c r="J71" s="291"/>
      <c r="K71" s="291"/>
      <c r="L71" s="281"/>
      <c r="M71" s="291"/>
      <c r="N71" s="696"/>
    </row>
    <row r="72" spans="1:14" s="116" customFormat="1" ht="20.25" customHeight="1" thickBot="1" x14ac:dyDescent="0.25">
      <c r="A72" s="689"/>
      <c r="B72" s="286" t="s">
        <v>543</v>
      </c>
      <c r="C72" s="697">
        <f>C14+C59+C68+C70+C17+C62</f>
        <v>93192742.890000001</v>
      </c>
      <c r="D72" s="697">
        <f>D14+D59+D68+D70+D17+D62</f>
        <v>1633169</v>
      </c>
      <c r="E72" s="697">
        <f>E14+E59+E68+E70+E17+E62</f>
        <v>94825911.890000001</v>
      </c>
      <c r="F72" s="698"/>
      <c r="G72" s="699"/>
      <c r="H72" s="698"/>
      <c r="I72" s="697">
        <f>I14+I59+I68+I70+I17+I62</f>
        <v>73498478</v>
      </c>
      <c r="J72" s="697">
        <f>J14+J59+J68+J70+J17+J62</f>
        <v>2966568</v>
      </c>
      <c r="K72" s="697">
        <f>K14+K59+K68+K70+K17+K62</f>
        <v>76465046</v>
      </c>
      <c r="L72" s="698"/>
      <c r="M72" s="697">
        <f>M14+M59+M68+M70+M17+M62</f>
        <v>19694264.890000001</v>
      </c>
      <c r="N72" s="700">
        <f>N14+N59+N68+N70+N17+N62</f>
        <v>18360865.890000001</v>
      </c>
    </row>
    <row r="73" spans="1:14" s="116" customFormat="1" ht="17.25" customHeight="1" x14ac:dyDescent="0.2">
      <c r="A73" s="283"/>
      <c r="B73" s="283"/>
      <c r="C73" s="283"/>
      <c r="D73" s="283"/>
      <c r="E73" s="283"/>
      <c r="F73" s="283"/>
      <c r="G73" s="283"/>
      <c r="H73" s="283"/>
      <c r="I73" s="283"/>
      <c r="J73" s="287"/>
      <c r="K73" s="283"/>
      <c r="L73" s="283"/>
      <c r="M73" s="283"/>
      <c r="N73" s="283"/>
    </row>
    <row r="74" spans="1:14" s="352" customFormat="1" ht="15.75" x14ac:dyDescent="0.2">
      <c r="I74" s="701"/>
      <c r="J74" s="701"/>
      <c r="K74" s="601"/>
      <c r="L74" s="601"/>
      <c r="M74" s="601"/>
      <c r="N74" s="601"/>
    </row>
    <row r="75" spans="1:14" s="352" customFormat="1" ht="15.75" x14ac:dyDescent="0.2">
      <c r="A75" s="702"/>
      <c r="B75" s="601"/>
      <c r="C75" s="601"/>
      <c r="D75" s="603"/>
      <c r="E75" s="603"/>
      <c r="F75" s="701"/>
      <c r="G75" s="701"/>
      <c r="H75" s="701"/>
      <c r="I75" s="602"/>
      <c r="J75" s="602"/>
      <c r="K75" s="784" t="s">
        <v>620</v>
      </c>
      <c r="L75" s="784"/>
      <c r="M75" s="784"/>
      <c r="N75" s="784"/>
    </row>
    <row r="76" spans="1:14" s="368" customFormat="1" ht="16.5" customHeight="1" x14ac:dyDescent="0.2">
      <c r="A76" s="703"/>
      <c r="B76" s="601"/>
      <c r="C76" s="601"/>
      <c r="D76" s="603"/>
      <c r="E76" s="603"/>
      <c r="F76" s="704"/>
      <c r="G76" s="705"/>
      <c r="I76" s="605"/>
      <c r="J76" s="603"/>
      <c r="K76" s="784" t="s">
        <v>681</v>
      </c>
      <c r="L76" s="784"/>
      <c r="M76" s="784"/>
      <c r="N76" s="784"/>
    </row>
    <row r="77" spans="1:14" s="368" customFormat="1" ht="16.5" customHeight="1" x14ac:dyDescent="0.25">
      <c r="A77" s="703"/>
      <c r="B77" s="670" t="s">
        <v>682</v>
      </c>
      <c r="C77" s="784" t="s">
        <v>683</v>
      </c>
      <c r="D77" s="784"/>
      <c r="E77" s="666"/>
      <c r="F77" s="703"/>
      <c r="H77" s="705"/>
      <c r="I77" s="605"/>
      <c r="J77" s="603"/>
      <c r="K77" s="784" t="s">
        <v>416</v>
      </c>
      <c r="L77" s="784"/>
      <c r="M77" s="784"/>
      <c r="N77" s="784"/>
    </row>
    <row r="78" spans="1:14" s="368" customFormat="1" ht="16.5" customHeight="1" x14ac:dyDescent="0.25">
      <c r="A78" s="706"/>
      <c r="B78" s="670" t="s">
        <v>671</v>
      </c>
      <c r="C78" s="784" t="s">
        <v>621</v>
      </c>
      <c r="D78" s="784"/>
      <c r="E78" s="666"/>
      <c r="H78" s="705"/>
      <c r="I78" s="605"/>
      <c r="J78" s="603"/>
      <c r="K78" s="784" t="s">
        <v>684</v>
      </c>
      <c r="L78" s="784"/>
      <c r="M78" s="784"/>
      <c r="N78" s="784"/>
    </row>
    <row r="79" spans="1:14" s="368" customFormat="1" ht="16.5" customHeight="1" x14ac:dyDescent="0.25">
      <c r="A79" s="706"/>
      <c r="B79" s="670"/>
      <c r="C79" s="601"/>
      <c r="D79" s="603"/>
      <c r="E79" s="603"/>
      <c r="G79" s="705"/>
      <c r="I79" s="605"/>
      <c r="J79" s="603"/>
      <c r="K79" s="666"/>
      <c r="L79" s="666"/>
      <c r="M79" s="666"/>
      <c r="N79" s="666"/>
    </row>
    <row r="80" spans="1:14" s="368" customFormat="1" ht="16.5" customHeight="1" x14ac:dyDescent="0.2">
      <c r="A80" s="703"/>
      <c r="B80" s="670"/>
      <c r="C80" s="601"/>
      <c r="D80" s="603"/>
      <c r="E80" s="603"/>
      <c r="I80" s="603"/>
      <c r="J80" s="603"/>
      <c r="K80" s="601"/>
      <c r="L80" s="601"/>
      <c r="M80" s="601"/>
      <c r="N80" s="601"/>
    </row>
    <row r="81" spans="1:14" s="368" customFormat="1" ht="16.5" customHeight="1" x14ac:dyDescent="0.2">
      <c r="A81" s="703"/>
      <c r="B81" s="670"/>
      <c r="C81" s="601"/>
      <c r="D81" s="603"/>
      <c r="E81" s="603"/>
      <c r="G81" s="705"/>
      <c r="H81" s="352"/>
      <c r="I81" s="603"/>
      <c r="J81" s="603"/>
      <c r="K81" s="601"/>
      <c r="L81" s="601"/>
      <c r="M81" s="601"/>
      <c r="N81" s="601"/>
    </row>
    <row r="82" spans="1:14" s="352" customFormat="1" ht="15.75" x14ac:dyDescent="0.2">
      <c r="B82" s="670"/>
      <c r="C82" s="601"/>
      <c r="D82" s="603"/>
      <c r="E82" s="603"/>
      <c r="H82" s="1"/>
      <c r="I82" s="603"/>
      <c r="J82" s="603"/>
      <c r="K82" s="601"/>
      <c r="L82" s="601"/>
      <c r="M82" s="601"/>
      <c r="N82" s="601"/>
    </row>
    <row r="83" spans="1:14" s="1" customFormat="1" ht="15.75" x14ac:dyDescent="0.25">
      <c r="B83" s="777" t="s">
        <v>685</v>
      </c>
      <c r="C83" s="777"/>
      <c r="D83" s="777"/>
      <c r="E83" s="666"/>
      <c r="I83" s="603" t="s">
        <v>487</v>
      </c>
      <c r="J83" s="603"/>
      <c r="K83" s="784" t="s">
        <v>686</v>
      </c>
      <c r="L83" s="784"/>
      <c r="M83" s="784"/>
      <c r="N83" s="784"/>
    </row>
    <row r="84" spans="1:14" s="1" customFormat="1" ht="15.75" x14ac:dyDescent="0.25">
      <c r="B84" s="777" t="s">
        <v>622</v>
      </c>
      <c r="C84" s="777"/>
      <c r="D84" s="777"/>
      <c r="E84" s="666"/>
      <c r="I84" s="603" t="s">
        <v>690</v>
      </c>
      <c r="J84" s="603"/>
      <c r="K84" s="784" t="s">
        <v>687</v>
      </c>
      <c r="L84" s="784"/>
      <c r="M84" s="784"/>
      <c r="N84" s="784"/>
    </row>
    <row r="85" spans="1:14" s="1" customFormat="1" ht="15.75" x14ac:dyDescent="0.2">
      <c r="I85" s="601"/>
      <c r="J85" s="603"/>
      <c r="K85" s="784" t="s">
        <v>688</v>
      </c>
      <c r="L85" s="784"/>
      <c r="M85" s="784"/>
      <c r="N85" s="784"/>
    </row>
  </sheetData>
  <mergeCells count="28">
    <mergeCell ref="B83:D83"/>
    <mergeCell ref="K83:N83"/>
    <mergeCell ref="B84:D84"/>
    <mergeCell ref="K84:N84"/>
    <mergeCell ref="K85:N85"/>
    <mergeCell ref="K75:N75"/>
    <mergeCell ref="K76:N76"/>
    <mergeCell ref="K77:N77"/>
    <mergeCell ref="C77:D77"/>
    <mergeCell ref="C78:D78"/>
    <mergeCell ref="K78:N78"/>
    <mergeCell ref="M42:N42"/>
    <mergeCell ref="A44:N44"/>
    <mergeCell ref="A45:N45"/>
    <mergeCell ref="A46:N46"/>
    <mergeCell ref="B48:B49"/>
    <mergeCell ref="C48:E48"/>
    <mergeCell ref="I48:K48"/>
    <mergeCell ref="M48:N48"/>
    <mergeCell ref="G49:G50"/>
    <mergeCell ref="A1:N1"/>
    <mergeCell ref="A2:N2"/>
    <mergeCell ref="A3:N3"/>
    <mergeCell ref="B5:B6"/>
    <mergeCell ref="C5:E5"/>
    <mergeCell ref="I5:K5"/>
    <mergeCell ref="M5:N5"/>
    <mergeCell ref="G6:G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3</vt:i4>
      </vt:variant>
    </vt:vector>
  </HeadingPairs>
  <TitlesOfParts>
    <vt:vector size="29" baseType="lpstr">
      <vt:lpstr>COMB - BS</vt:lpstr>
      <vt:lpstr>COMB - PL</vt:lpstr>
      <vt:lpstr>COMB - SCHEDULES</vt:lpstr>
      <vt:lpstr>COMB - DEP</vt:lpstr>
      <vt:lpstr>MBA BS</vt:lpstr>
      <vt:lpstr>MBA PL </vt:lpstr>
      <vt:lpstr>MBA DEPRE 2024-25</vt:lpstr>
      <vt:lpstr>MBA Schedules</vt:lpstr>
      <vt:lpstr>MBA DEP-2425</vt:lpstr>
      <vt:lpstr>MCA BS</vt:lpstr>
      <vt:lpstr>PL</vt:lpstr>
      <vt:lpstr>Depreciation</vt:lpstr>
      <vt:lpstr>Depreciation calculation</vt:lpstr>
      <vt:lpstr>Stock details</vt:lpstr>
      <vt:lpstr>Notes</vt:lpstr>
      <vt:lpstr>Share holders</vt:lpstr>
      <vt:lpstr>Debtors</vt:lpstr>
      <vt:lpstr>Depreciation as per IT</vt:lpstr>
      <vt:lpstr>Sheet3</vt:lpstr>
      <vt:lpstr>Computation</vt:lpstr>
      <vt:lpstr>269ss</vt:lpstr>
      <vt:lpstr>Sheet1</vt:lpstr>
      <vt:lpstr>MCA PL</vt:lpstr>
      <vt:lpstr>MCA DEPRE 2024-25</vt:lpstr>
      <vt:lpstr>MCA Schedules</vt:lpstr>
      <vt:lpstr>MCA  DEP-2425</vt:lpstr>
      <vt:lpstr>'269ss'!Print_Area</vt:lpstr>
      <vt:lpstr>Notes!Print_Area</vt:lpstr>
      <vt:lpstr>PL!Print_Area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</dc:creator>
  <cp:lastModifiedBy>user</cp:lastModifiedBy>
  <cp:lastPrinted>2025-10-07T11:18:39Z</cp:lastPrinted>
  <dcterms:created xsi:type="dcterms:W3CDTF">1996-10-14T23:33:28Z</dcterms:created>
  <dcterms:modified xsi:type="dcterms:W3CDTF">2026-03-16T05:29:28Z</dcterms:modified>
</cp:coreProperties>
</file>